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H:\DFE\FEADER\0. FEADER-23-27\02-DVPT-DURABLE\00_Dispositifs\O2_IAE\02_IAE_2025\01_AAP\05_VersionDiffusable\"/>
    </mc:Choice>
  </mc:AlternateContent>
  <xr:revisionPtr revIDLastSave="0" documentId="13_ncr:1_{2F681039-888C-49C8-B6E0-515198331F0F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Barèmes" sheetId="6" r:id="rId1"/>
    <sheet name="SYNTHESE" sheetId="13" r:id="rId2"/>
    <sheet name="calcul haies" sheetId="15" state="hidden" r:id="rId3"/>
    <sheet name="calcul AIP" sheetId="16" state="hidden" r:id="rId4"/>
    <sheet name="calcul BOS" sheetId="18" state="hidden" r:id="rId5"/>
    <sheet name="calcul RNA" sheetId="19" state="hidden" r:id="rId6"/>
    <sheet name="calcul BEM" sheetId="20" state="hidden" r:id="rId7"/>
    <sheet name="calcul fascines" sheetId="22" state="hidden" r:id="rId8"/>
    <sheet name="calcul CMA" sheetId="23" state="hidden" r:id="rId9"/>
    <sheet name="calcul RMA" sheetId="24" state="hidden" r:id="rId10"/>
    <sheet name="calcul RMU" sheetId="26" state="hidden" r:id="rId11"/>
  </sheets>
  <definedNames>
    <definedName name="_xlnm.Print_Area" localSheetId="0">Barèmes!$A$2:$T$12</definedName>
    <definedName name="_xlnm.Print_Area" localSheetId="1">SYNTHESE!$A$1:$N$70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3" l="1"/>
  <c r="O10" i="15"/>
  <c r="R10" i="15" s="1"/>
  <c r="Q10" i="15" l="1"/>
  <c r="N21" i="15" s="1"/>
  <c r="N24" i="16"/>
  <c r="C24" i="16"/>
  <c r="A11" i="26" l="1"/>
  <c r="B11" i="26" s="1"/>
  <c r="A12" i="26"/>
  <c r="C12" i="26" s="1"/>
  <c r="A13" i="26"/>
  <c r="C13" i="26" s="1"/>
  <c r="A14" i="26"/>
  <c r="C14" i="26" s="1"/>
  <c r="A15" i="26"/>
  <c r="C15" i="26" s="1"/>
  <c r="A10" i="26"/>
  <c r="C10" i="26" s="1"/>
  <c r="D159" i="13"/>
  <c r="A11" i="24"/>
  <c r="B11" i="24" s="1"/>
  <c r="A12" i="24"/>
  <c r="B12" i="24" s="1"/>
  <c r="A13" i="24"/>
  <c r="B13" i="24" s="1"/>
  <c r="A14" i="24"/>
  <c r="B14" i="24" s="1"/>
  <c r="C14" i="24" s="1"/>
  <c r="A10" i="24"/>
  <c r="B10" i="24" s="1"/>
  <c r="O24" i="16"/>
  <c r="B15" i="26" l="1"/>
  <c r="D10" i="26"/>
  <c r="B14" i="26"/>
  <c r="B13" i="26"/>
  <c r="B10" i="26"/>
  <c r="B12" i="26"/>
  <c r="C11" i="26"/>
  <c r="A12" i="22"/>
  <c r="A13" i="22"/>
  <c r="A14" i="22"/>
  <c r="A15" i="22"/>
  <c r="A16" i="22"/>
  <c r="A21" i="24" l="1"/>
  <c r="B21" i="24"/>
  <c r="C21" i="24" s="1"/>
  <c r="A22" i="24"/>
  <c r="B22" i="24"/>
  <c r="C22" i="24" s="1"/>
  <c r="D22" i="24" s="1"/>
  <c r="A23" i="24"/>
  <c r="D23" i="24" s="1"/>
  <c r="B23" i="24"/>
  <c r="C23" i="24" s="1"/>
  <c r="A24" i="24"/>
  <c r="D24" i="24" s="1"/>
  <c r="B24" i="24"/>
  <c r="C24" i="24" s="1"/>
  <c r="A25" i="24"/>
  <c r="D25" i="24" s="1"/>
  <c r="B25" i="24"/>
  <c r="C25" i="24" s="1"/>
  <c r="B20" i="24"/>
  <c r="A20" i="24"/>
  <c r="A21" i="23"/>
  <c r="B21" i="23"/>
  <c r="A22" i="23"/>
  <c r="B22" i="23"/>
  <c r="A23" i="23"/>
  <c r="B23" i="23"/>
  <c r="A24" i="23"/>
  <c r="B24" i="23"/>
  <c r="D24" i="23" s="1"/>
  <c r="A25" i="23"/>
  <c r="B25" i="23"/>
  <c r="B20" i="23"/>
  <c r="C20" i="23" s="1"/>
  <c r="A20" i="23"/>
  <c r="A11" i="23"/>
  <c r="B11" i="23"/>
  <c r="D11" i="23" s="1"/>
  <c r="A12" i="23"/>
  <c r="B12" i="23"/>
  <c r="D12" i="23" s="1"/>
  <c r="A13" i="23"/>
  <c r="B13" i="23"/>
  <c r="D13" i="23" s="1"/>
  <c r="A14" i="23"/>
  <c r="B14" i="23"/>
  <c r="B10" i="23"/>
  <c r="D10" i="23" s="1"/>
  <c r="A10" i="23"/>
  <c r="B12" i="22"/>
  <c r="B13" i="22"/>
  <c r="B14" i="22"/>
  <c r="B15" i="22"/>
  <c r="B16" i="22"/>
  <c r="B11" i="22"/>
  <c r="A11" i="22"/>
  <c r="C11" i="22" s="1"/>
  <c r="D25" i="23" l="1"/>
  <c r="C25" i="23"/>
  <c r="D21" i="24"/>
  <c r="C22" i="23"/>
  <c r="D22" i="23"/>
  <c r="D23" i="23"/>
  <c r="C23" i="23"/>
  <c r="D21" i="23"/>
  <c r="C21" i="23"/>
  <c r="I24" i="16"/>
  <c r="A17" i="19" l="1"/>
  <c r="B17" i="19" l="1"/>
  <c r="J17" i="19" s="1"/>
  <c r="G17" i="19"/>
  <c r="C17" i="19"/>
  <c r="F17" i="19" s="1"/>
  <c r="Q24" i="16"/>
  <c r="I17" i="19" l="1"/>
  <c r="K17" i="19"/>
  <c r="D17" i="19"/>
  <c r="E17" i="19"/>
  <c r="H17" i="19"/>
  <c r="J26" i="13"/>
  <c r="D15" i="26"/>
  <c r="D14" i="26"/>
  <c r="D171" i="13" s="1"/>
  <c r="D13" i="26"/>
  <c r="D170" i="13" s="1"/>
  <c r="D12" i="26"/>
  <c r="D169" i="13" s="1"/>
  <c r="J25" i="13"/>
  <c r="C119" i="13"/>
  <c r="D167" i="13" l="1"/>
  <c r="D11" i="26"/>
  <c r="J22" i="13"/>
  <c r="D13" i="22"/>
  <c r="D116" i="13" s="1"/>
  <c r="D14" i="22"/>
  <c r="D117" i="13" s="1"/>
  <c r="D15" i="22"/>
  <c r="D118" i="13" s="1"/>
  <c r="D16" i="22"/>
  <c r="C12" i="22"/>
  <c r="D12" i="22" s="1"/>
  <c r="D115" i="13" s="1"/>
  <c r="C13" i="22"/>
  <c r="C14" i="22"/>
  <c r="C15" i="22"/>
  <c r="C16" i="22"/>
  <c r="P24" i="16"/>
  <c r="M24" i="16"/>
  <c r="E24" i="16"/>
  <c r="L24" i="16"/>
  <c r="K24" i="16"/>
  <c r="J24" i="16"/>
  <c r="H24" i="16"/>
  <c r="G24" i="16"/>
  <c r="F24" i="16"/>
  <c r="D168" i="13" l="1"/>
  <c r="D16" i="26"/>
  <c r="D172" i="13"/>
  <c r="E26" i="13" s="1"/>
  <c r="E25" i="13"/>
  <c r="D11" i="22"/>
  <c r="D17" i="22" l="1"/>
  <c r="E22" i="13" s="1"/>
  <c r="D114" i="13"/>
  <c r="D119" i="13" s="1"/>
  <c r="E55" i="6"/>
  <c r="E57" i="6" l="1"/>
  <c r="E56" i="6"/>
  <c r="E53" i="6" l="1"/>
  <c r="J24" i="13" l="1"/>
  <c r="J23" i="13"/>
  <c r="C10" i="24" l="1"/>
  <c r="C10" i="23"/>
  <c r="C12" i="24"/>
  <c r="C13" i="23"/>
  <c r="C11" i="23"/>
  <c r="C11" i="24"/>
  <c r="C14" i="23"/>
  <c r="D14" i="23" s="1"/>
  <c r="C24" i="23" s="1"/>
  <c r="C12" i="23"/>
  <c r="D14" i="24"/>
  <c r="C13" i="24"/>
  <c r="D10" i="24" l="1"/>
  <c r="C20" i="24" s="1"/>
  <c r="D20" i="24" s="1"/>
  <c r="D26" i="24" s="1"/>
  <c r="D13" i="24"/>
  <c r="D143" i="13" s="1"/>
  <c r="D12" i="24"/>
  <c r="D142" i="13" s="1"/>
  <c r="D11" i="24"/>
  <c r="D141" i="13" s="1"/>
  <c r="D144" i="13"/>
  <c r="D20" i="23"/>
  <c r="D26" i="23" s="1"/>
  <c r="E54" i="6"/>
  <c r="D129" i="13" l="1"/>
  <c r="D131" i="13"/>
  <c r="D130" i="13"/>
  <c r="D128" i="13"/>
  <c r="E103" i="13"/>
  <c r="E104" i="13"/>
  <c r="E71" i="6"/>
  <c r="E70" i="6"/>
  <c r="E69" i="6"/>
  <c r="F15" i="6"/>
  <c r="J20" i="13"/>
  <c r="J17" i="13"/>
  <c r="D127" i="13" l="1"/>
  <c r="D132" i="13" s="1"/>
  <c r="E23" i="13" s="1"/>
  <c r="A15" i="20" l="1"/>
  <c r="E15" i="20" s="1"/>
  <c r="A16" i="20"/>
  <c r="E16" i="20" s="1"/>
  <c r="A17" i="20"/>
  <c r="E17" i="20" s="1"/>
  <c r="A18" i="20"/>
  <c r="E18" i="20" s="1"/>
  <c r="A19" i="20"/>
  <c r="E19" i="20" s="1"/>
  <c r="C18" i="20" l="1"/>
  <c r="F18" i="20"/>
  <c r="C19" i="20"/>
  <c r="F19" i="20"/>
  <c r="C17" i="20"/>
  <c r="F17" i="20"/>
  <c r="C16" i="20"/>
  <c r="F16" i="20" s="1"/>
  <c r="E102" i="13" s="1"/>
  <c r="D15" i="20"/>
  <c r="C15" i="20"/>
  <c r="F15" i="20" s="1"/>
  <c r="D19" i="20"/>
  <c r="D18" i="20"/>
  <c r="D17" i="20"/>
  <c r="D16" i="20"/>
  <c r="B16" i="20"/>
  <c r="B15" i="20"/>
  <c r="B19" i="20"/>
  <c r="B17" i="20"/>
  <c r="B18" i="20"/>
  <c r="E101" i="13" l="1"/>
  <c r="M17" i="19"/>
  <c r="N17" i="19"/>
  <c r="O17" i="19"/>
  <c r="A14" i="20" l="1"/>
  <c r="E14" i="20" s="1"/>
  <c r="C14" i="20" l="1"/>
  <c r="D14" i="20"/>
  <c r="J21" i="13" s="1"/>
  <c r="B14" i="20"/>
  <c r="F14" i="20" l="1"/>
  <c r="F20" i="20" s="1"/>
  <c r="M90" i="13"/>
  <c r="A13" i="19"/>
  <c r="A14" i="19"/>
  <c r="A15" i="19"/>
  <c r="A16" i="19"/>
  <c r="G16" i="19" s="1"/>
  <c r="A12" i="19"/>
  <c r="B28" i="19"/>
  <c r="A28" i="19"/>
  <c r="A13" i="18"/>
  <c r="A14" i="18"/>
  <c r="A15" i="18"/>
  <c r="A16" i="18"/>
  <c r="A12" i="18"/>
  <c r="N28" i="19" l="1"/>
  <c r="L28" i="19"/>
  <c r="H28" i="19"/>
  <c r="C28" i="19"/>
  <c r="O28" i="19"/>
  <c r="M28" i="19"/>
  <c r="I28" i="19"/>
  <c r="D28" i="19"/>
  <c r="P28" i="19"/>
  <c r="J28" i="19"/>
  <c r="F28" i="19"/>
  <c r="E28" i="19"/>
  <c r="K28" i="19"/>
  <c r="G28" i="19"/>
  <c r="E100" i="13"/>
  <c r="E105" i="13" s="1"/>
  <c r="E21" i="13" s="1"/>
  <c r="C12" i="19"/>
  <c r="G12" i="19" s="1"/>
  <c r="C15" i="19"/>
  <c r="C14" i="19"/>
  <c r="C16" i="19"/>
  <c r="F16" i="19" s="1"/>
  <c r="C13" i="19"/>
  <c r="B14" i="19"/>
  <c r="B13" i="19"/>
  <c r="A23" i="19"/>
  <c r="B16" i="19"/>
  <c r="A26" i="19"/>
  <c r="B15" i="18"/>
  <c r="J15" i="18" s="1"/>
  <c r="B12" i="18"/>
  <c r="B14" i="18"/>
  <c r="A23" i="18"/>
  <c r="B16" i="18"/>
  <c r="B15" i="19"/>
  <c r="B12" i="19"/>
  <c r="A25" i="19"/>
  <c r="A24" i="19"/>
  <c r="A27" i="19"/>
  <c r="B13" i="18"/>
  <c r="A24" i="18"/>
  <c r="A26" i="18"/>
  <c r="A22" i="18"/>
  <c r="A25" i="18"/>
  <c r="E74" i="6"/>
  <c r="D16" i="19" l="1"/>
  <c r="E16" i="19"/>
  <c r="D15" i="19"/>
  <c r="E15" i="19"/>
  <c r="G15" i="19"/>
  <c r="F15" i="19"/>
  <c r="G13" i="19"/>
  <c r="F13" i="19"/>
  <c r="D13" i="19"/>
  <c r="E13" i="19"/>
  <c r="G14" i="19"/>
  <c r="F14" i="19"/>
  <c r="E14" i="19"/>
  <c r="D14" i="19"/>
  <c r="L25" i="19"/>
  <c r="K25" i="19" s="1"/>
  <c r="P25" i="19" s="1"/>
  <c r="F12" i="19"/>
  <c r="B25" i="18"/>
  <c r="C16" i="18"/>
  <c r="F16" i="18" s="1"/>
  <c r="E16" i="18"/>
  <c r="D16" i="18"/>
  <c r="G16" i="18" s="1"/>
  <c r="B26" i="18"/>
  <c r="C26" i="18" s="1"/>
  <c r="C12" i="18"/>
  <c r="F12" i="18" s="1"/>
  <c r="E12" i="18"/>
  <c r="D12" i="18"/>
  <c r="I16" i="18"/>
  <c r="C14" i="18"/>
  <c r="F14" i="18" s="1"/>
  <c r="E14" i="18"/>
  <c r="D14" i="18"/>
  <c r="C13" i="18"/>
  <c r="F13" i="18" s="1"/>
  <c r="E13" i="18"/>
  <c r="D13" i="18"/>
  <c r="C15" i="18"/>
  <c r="F15" i="18" s="1"/>
  <c r="E15" i="18"/>
  <c r="D15" i="18"/>
  <c r="I15" i="18"/>
  <c r="J16" i="18"/>
  <c r="K14" i="19"/>
  <c r="I12" i="18"/>
  <c r="J12" i="18"/>
  <c r="K12" i="19"/>
  <c r="B25" i="19"/>
  <c r="H12" i="18"/>
  <c r="H16" i="19"/>
  <c r="J16" i="19"/>
  <c r="I16" i="19"/>
  <c r="K16" i="19"/>
  <c r="H13" i="19"/>
  <c r="B24" i="19"/>
  <c r="B22" i="18"/>
  <c r="J14" i="18"/>
  <c r="B27" i="19"/>
  <c r="H16" i="18"/>
  <c r="H14" i="18"/>
  <c r="I14" i="18"/>
  <c r="B24" i="18"/>
  <c r="H15" i="18"/>
  <c r="D25" i="18"/>
  <c r="K15" i="19"/>
  <c r="B23" i="19"/>
  <c r="D12" i="19"/>
  <c r="I12" i="19" s="1"/>
  <c r="B26" i="19"/>
  <c r="J13" i="18"/>
  <c r="J26" i="18"/>
  <c r="I26" i="18"/>
  <c r="I13" i="18"/>
  <c r="H13" i="18"/>
  <c r="B23" i="18"/>
  <c r="J18" i="13"/>
  <c r="O27" i="19" l="1"/>
  <c r="M27" i="19"/>
  <c r="I27" i="19"/>
  <c r="D27" i="19"/>
  <c r="P27" i="19"/>
  <c r="J27" i="19"/>
  <c r="F27" i="19"/>
  <c r="E27" i="19"/>
  <c r="K27" i="19"/>
  <c r="G27" i="19"/>
  <c r="N27" i="19"/>
  <c r="L27" i="19"/>
  <c r="H27" i="19"/>
  <c r="C27" i="19"/>
  <c r="P26" i="19"/>
  <c r="J26" i="19"/>
  <c r="F26" i="19"/>
  <c r="E26" i="19"/>
  <c r="K26" i="19"/>
  <c r="G26" i="19"/>
  <c r="N26" i="19"/>
  <c r="L26" i="19"/>
  <c r="H26" i="19"/>
  <c r="C26" i="19"/>
  <c r="O26" i="19"/>
  <c r="M26" i="19"/>
  <c r="I26" i="19"/>
  <c r="D26" i="19"/>
  <c r="O23" i="19"/>
  <c r="N23" i="19"/>
  <c r="N24" i="19"/>
  <c r="D24" i="19"/>
  <c r="J24" i="19"/>
  <c r="C24" i="19"/>
  <c r="M24" i="19"/>
  <c r="I24" i="19"/>
  <c r="O24" i="19"/>
  <c r="F24" i="19"/>
  <c r="L24" i="19"/>
  <c r="K24" i="19" s="1"/>
  <c r="O25" i="19"/>
  <c r="N25" i="19"/>
  <c r="D25" i="19"/>
  <c r="J25" i="19"/>
  <c r="C25" i="19"/>
  <c r="E25" i="19"/>
  <c r="M25" i="19"/>
  <c r="I25" i="19"/>
  <c r="C23" i="18"/>
  <c r="F23" i="18" s="1"/>
  <c r="C22" i="18"/>
  <c r="I13" i="19"/>
  <c r="G15" i="18"/>
  <c r="C25" i="18"/>
  <c r="F25" i="18" s="1"/>
  <c r="I25" i="18"/>
  <c r="E25" i="18"/>
  <c r="H25" i="18"/>
  <c r="J25" i="18"/>
  <c r="K25" i="18" s="1"/>
  <c r="F74" i="13" s="1"/>
  <c r="G25" i="18"/>
  <c r="I15" i="19"/>
  <c r="H15" i="19"/>
  <c r="J15" i="19" s="1"/>
  <c r="H12" i="19"/>
  <c r="K13" i="19"/>
  <c r="G14" i="18"/>
  <c r="G24" i="18"/>
  <c r="I14" i="19"/>
  <c r="G25" i="19" s="1"/>
  <c r="H14" i="19"/>
  <c r="F25" i="19" s="1"/>
  <c r="I24" i="18"/>
  <c r="C24" i="18"/>
  <c r="F24" i="18" s="1"/>
  <c r="G12" i="18"/>
  <c r="G13" i="18"/>
  <c r="E23" i="18"/>
  <c r="H24" i="18"/>
  <c r="J19" i="13"/>
  <c r="J22" i="18"/>
  <c r="E22" i="18"/>
  <c r="E24" i="18"/>
  <c r="J24" i="18"/>
  <c r="F26" i="18"/>
  <c r="E26" i="18"/>
  <c r="G26" i="18"/>
  <c r="H26" i="18"/>
  <c r="H22" i="18"/>
  <c r="F22" i="18"/>
  <c r="I22" i="18"/>
  <c r="G22" i="18"/>
  <c r="D26" i="18"/>
  <c r="K26" i="18" s="1"/>
  <c r="F75" i="13" s="1"/>
  <c r="G23" i="18"/>
  <c r="L23" i="19"/>
  <c r="J23" i="19"/>
  <c r="M23" i="19"/>
  <c r="E12" i="19"/>
  <c r="C23" i="19"/>
  <c r="D23" i="19"/>
  <c r="I23" i="19"/>
  <c r="J23" i="18"/>
  <c r="I23" i="18"/>
  <c r="H23" i="18"/>
  <c r="J13" i="19" l="1"/>
  <c r="H24" i="19" s="1"/>
  <c r="G24" i="19"/>
  <c r="E24" i="19" s="1"/>
  <c r="P24" i="19" s="1"/>
  <c r="M89" i="13"/>
  <c r="J14" i="19"/>
  <c r="H25" i="19" s="1"/>
  <c r="J12" i="19"/>
  <c r="D24" i="18"/>
  <c r="K24" i="18" s="1"/>
  <c r="M88" i="13"/>
  <c r="D22" i="18"/>
  <c r="D23" i="18"/>
  <c r="F23" i="19"/>
  <c r="G23" i="19"/>
  <c r="H23" i="19" l="1"/>
  <c r="E23" i="19" s="1"/>
  <c r="K23" i="19" l="1"/>
  <c r="P23" i="19" s="1"/>
  <c r="P29" i="19" s="1"/>
  <c r="M87" i="13"/>
  <c r="K23" i="18"/>
  <c r="M86" i="13" l="1"/>
  <c r="M92" i="13" s="1"/>
  <c r="E20" i="13" s="1"/>
  <c r="M57" i="13"/>
  <c r="M58" i="13"/>
  <c r="M59" i="13"/>
  <c r="C10" i="16" l="1"/>
  <c r="C11" i="16"/>
  <c r="C12" i="16"/>
  <c r="C13" i="16"/>
  <c r="C14" i="16"/>
  <c r="B11" i="16"/>
  <c r="B12" i="16"/>
  <c r="B13" i="16"/>
  <c r="B14" i="16"/>
  <c r="B10" i="16"/>
  <c r="B14" i="13"/>
  <c r="A11" i="16"/>
  <c r="A12" i="16"/>
  <c r="A13" i="16"/>
  <c r="A14" i="16"/>
  <c r="A10" i="16"/>
  <c r="A15" i="15"/>
  <c r="B15" i="15"/>
  <c r="B11" i="15"/>
  <c r="B12" i="15"/>
  <c r="B13" i="15"/>
  <c r="B14" i="15"/>
  <c r="B10" i="15"/>
  <c r="J10" i="15" s="1"/>
  <c r="A11" i="15"/>
  <c r="A12" i="15"/>
  <c r="A13" i="15"/>
  <c r="A14" i="15"/>
  <c r="A10" i="15"/>
  <c r="P10" i="15" l="1"/>
  <c r="J15" i="15"/>
  <c r="N15" i="15"/>
  <c r="S15" i="15"/>
  <c r="G13" i="16"/>
  <c r="J13" i="16"/>
  <c r="Q15" i="15"/>
  <c r="O15" i="15"/>
  <c r="P15" i="15" s="1"/>
  <c r="G12" i="16"/>
  <c r="J12" i="16"/>
  <c r="L14" i="16"/>
  <c r="K14" i="16"/>
  <c r="L13" i="16"/>
  <c r="K13" i="16"/>
  <c r="G14" i="16"/>
  <c r="J14" i="16"/>
  <c r="L12" i="16"/>
  <c r="K12" i="16"/>
  <c r="G11" i="16"/>
  <c r="J11" i="16"/>
  <c r="L10" i="16"/>
  <c r="K10" i="16"/>
  <c r="G10" i="16"/>
  <c r="J10" i="16"/>
  <c r="L11" i="16"/>
  <c r="K11" i="16"/>
  <c r="J12" i="15"/>
  <c r="S12" i="15"/>
  <c r="N12" i="15"/>
  <c r="O14" i="15"/>
  <c r="P14" i="15" s="1"/>
  <c r="J11" i="15"/>
  <c r="S11" i="15"/>
  <c r="N11" i="15"/>
  <c r="O13" i="15"/>
  <c r="P13" i="15" s="1"/>
  <c r="J14" i="15"/>
  <c r="N14" i="15"/>
  <c r="S14" i="15"/>
  <c r="P12" i="15"/>
  <c r="O12" i="15"/>
  <c r="J13" i="15"/>
  <c r="S13" i="15"/>
  <c r="N13" i="15"/>
  <c r="O11" i="15"/>
  <c r="P11" i="15" s="1"/>
  <c r="I14" i="16"/>
  <c r="I11" i="16"/>
  <c r="I13" i="16"/>
  <c r="I12" i="16"/>
  <c r="I14" i="15"/>
  <c r="I15" i="15"/>
  <c r="I13" i="15"/>
  <c r="I10" i="16"/>
  <c r="I12" i="15"/>
  <c r="I11" i="15"/>
  <c r="A26" i="15"/>
  <c r="B23" i="15"/>
  <c r="M23" i="15" s="1"/>
  <c r="H12" i="15"/>
  <c r="H11" i="15"/>
  <c r="B22" i="15"/>
  <c r="B26" i="15"/>
  <c r="D11" i="15"/>
  <c r="A22" i="15"/>
  <c r="C11" i="15"/>
  <c r="Q11" i="15" s="1"/>
  <c r="C13" i="15"/>
  <c r="R13" i="15" s="1"/>
  <c r="D13" i="15"/>
  <c r="E13" i="15" s="1"/>
  <c r="F13" i="15" s="1"/>
  <c r="G13" i="15" s="1"/>
  <c r="A24" i="15"/>
  <c r="A25" i="15"/>
  <c r="C14" i="15"/>
  <c r="Q14" i="15" s="1"/>
  <c r="D14" i="15"/>
  <c r="E14" i="15" s="1"/>
  <c r="F14" i="15" s="1"/>
  <c r="G14" i="15" s="1"/>
  <c r="B25" i="15"/>
  <c r="H14" i="15"/>
  <c r="C10" i="15"/>
  <c r="L10" i="15" s="1"/>
  <c r="D10" i="15"/>
  <c r="E10" i="15" s="1"/>
  <c r="F10" i="15" s="1"/>
  <c r="G10" i="15" s="1"/>
  <c r="D12" i="15"/>
  <c r="E12" i="15" s="1"/>
  <c r="F12" i="15" s="1"/>
  <c r="G12" i="15" s="1"/>
  <c r="A23" i="15"/>
  <c r="C12" i="15"/>
  <c r="Q12" i="15" s="1"/>
  <c r="B24" i="15"/>
  <c r="H13" i="15"/>
  <c r="H15" i="15"/>
  <c r="D15" i="15"/>
  <c r="E15" i="15" s="1"/>
  <c r="F15" i="15" s="1"/>
  <c r="G15" i="15" s="1"/>
  <c r="C15" i="15"/>
  <c r="K15" i="15" s="1"/>
  <c r="F10" i="16"/>
  <c r="E10" i="16"/>
  <c r="D10" i="16"/>
  <c r="D11" i="16"/>
  <c r="E11" i="16"/>
  <c r="E14" i="16"/>
  <c r="D14" i="16"/>
  <c r="F13" i="16"/>
  <c r="E13" i="16"/>
  <c r="D13" i="16"/>
  <c r="F12" i="16"/>
  <c r="E12" i="16"/>
  <c r="D12" i="16"/>
  <c r="A21" i="15"/>
  <c r="H10" i="15"/>
  <c r="B21" i="15"/>
  <c r="H13" i="16"/>
  <c r="H12" i="16"/>
  <c r="H11" i="16"/>
  <c r="H14" i="16"/>
  <c r="A25" i="16"/>
  <c r="F14" i="16"/>
  <c r="A21" i="16"/>
  <c r="F11" i="16"/>
  <c r="M12" i="16"/>
  <c r="N10" i="15"/>
  <c r="M14" i="16"/>
  <c r="M13" i="16"/>
  <c r="M11" i="16"/>
  <c r="B22" i="16"/>
  <c r="C22" i="16" s="1"/>
  <c r="M10" i="16"/>
  <c r="B25" i="16"/>
  <c r="C25" i="16" s="1"/>
  <c r="A20" i="16"/>
  <c r="B20" i="16"/>
  <c r="A22" i="16"/>
  <c r="A23" i="16"/>
  <c r="B23" i="16"/>
  <c r="C23" i="16" s="1"/>
  <c r="B21" i="16"/>
  <c r="C21" i="16" s="1"/>
  <c r="H10" i="16"/>
  <c r="S10" i="15"/>
  <c r="I10" i="15"/>
  <c r="R15" i="15" l="1"/>
  <c r="R11" i="15"/>
  <c r="R12" i="15"/>
  <c r="O23" i="15" s="1"/>
  <c r="Q13" i="15"/>
  <c r="R14" i="15"/>
  <c r="L21" i="15"/>
  <c r="I25" i="16"/>
  <c r="N25" i="16"/>
  <c r="O25" i="16"/>
  <c r="L26" i="15"/>
  <c r="K26" i="15" s="1"/>
  <c r="F26" i="15"/>
  <c r="I26" i="15"/>
  <c r="D26" i="15"/>
  <c r="M26" i="15"/>
  <c r="I23" i="16"/>
  <c r="N23" i="16"/>
  <c r="O23" i="16"/>
  <c r="I22" i="16"/>
  <c r="N22" i="16"/>
  <c r="O22" i="16"/>
  <c r="N20" i="16"/>
  <c r="P21" i="16"/>
  <c r="N21" i="16"/>
  <c r="M20" i="16"/>
  <c r="C20" i="16"/>
  <c r="O20" i="16"/>
  <c r="I25" i="15"/>
  <c r="F25" i="15"/>
  <c r="D25" i="15"/>
  <c r="M25" i="15"/>
  <c r="L25" i="15"/>
  <c r="D24" i="15"/>
  <c r="M24" i="15"/>
  <c r="L24" i="15"/>
  <c r="I24" i="15"/>
  <c r="G24" i="15"/>
  <c r="L23" i="15"/>
  <c r="K23" i="15" s="1"/>
  <c r="I23" i="15"/>
  <c r="G23" i="15"/>
  <c r="D23" i="15"/>
  <c r="E11" i="15"/>
  <c r="F11" i="15" s="1"/>
  <c r="G11" i="15" s="1"/>
  <c r="I22" i="15"/>
  <c r="D22" i="15"/>
  <c r="M22" i="15"/>
  <c r="L22" i="15"/>
  <c r="K22" i="15" s="1"/>
  <c r="J22" i="15" s="1"/>
  <c r="K14" i="15"/>
  <c r="L14" i="15"/>
  <c r="M14" i="15" s="1"/>
  <c r="H25" i="15" s="1"/>
  <c r="L13" i="15"/>
  <c r="K13" i="15"/>
  <c r="F24" i="15" s="1"/>
  <c r="K12" i="15"/>
  <c r="F23" i="15" s="1"/>
  <c r="L12" i="15"/>
  <c r="N22" i="15"/>
  <c r="M25" i="16"/>
  <c r="Q25" i="16"/>
  <c r="M23" i="16"/>
  <c r="Q23" i="16"/>
  <c r="M22" i="16"/>
  <c r="Q22" i="16"/>
  <c r="M21" i="16"/>
  <c r="L11" i="15"/>
  <c r="G22" i="15" s="1"/>
  <c r="P22" i="15"/>
  <c r="K10" i="15"/>
  <c r="M10" i="15" s="1"/>
  <c r="H21" i="15" s="1"/>
  <c r="O24" i="15"/>
  <c r="P24" i="15"/>
  <c r="N23" i="15"/>
  <c r="O21" i="15"/>
  <c r="K11" i="15"/>
  <c r="F22" i="15" s="1"/>
  <c r="N24" i="15"/>
  <c r="P25" i="15"/>
  <c r="O25" i="15"/>
  <c r="P26" i="15"/>
  <c r="P23" i="15"/>
  <c r="N25" i="15"/>
  <c r="L15" i="15"/>
  <c r="G26" i="15" s="1"/>
  <c r="C24" i="15"/>
  <c r="C23" i="15"/>
  <c r="C22" i="15"/>
  <c r="C25" i="15"/>
  <c r="O22" i="15"/>
  <c r="C26" i="15"/>
  <c r="M15" i="15"/>
  <c r="H26" i="15" s="1"/>
  <c r="O26" i="15"/>
  <c r="N26" i="15"/>
  <c r="J26" i="15" s="1"/>
  <c r="P23" i="16"/>
  <c r="P22" i="16"/>
  <c r="P25" i="16"/>
  <c r="O21" i="16"/>
  <c r="P20" i="16"/>
  <c r="G23" i="16"/>
  <c r="L23" i="16"/>
  <c r="J23" i="16"/>
  <c r="K23" i="16"/>
  <c r="H23" i="16"/>
  <c r="E23" i="16"/>
  <c r="F23" i="16"/>
  <c r="L21" i="16"/>
  <c r="J21" i="16"/>
  <c r="H21" i="16"/>
  <c r="F21" i="16"/>
  <c r="K21" i="16"/>
  <c r="G21" i="16"/>
  <c r="G22" i="16"/>
  <c r="L22" i="16"/>
  <c r="J22" i="16"/>
  <c r="K22" i="16"/>
  <c r="F22" i="16"/>
  <c r="E22" i="16"/>
  <c r="H22" i="16"/>
  <c r="G20" i="16"/>
  <c r="L20" i="16"/>
  <c r="J20" i="16"/>
  <c r="H20" i="16"/>
  <c r="F20" i="16"/>
  <c r="K20" i="16"/>
  <c r="G25" i="16"/>
  <c r="L25" i="16"/>
  <c r="J25" i="16"/>
  <c r="F25" i="16"/>
  <c r="K25" i="16"/>
  <c r="H25" i="16"/>
  <c r="E25" i="16"/>
  <c r="M21" i="15"/>
  <c r="K21" i="15" s="1"/>
  <c r="D21" i="15"/>
  <c r="C21" i="15"/>
  <c r="P21" i="15"/>
  <c r="I21" i="15"/>
  <c r="E26" i="15" l="1"/>
  <c r="E25" i="15"/>
  <c r="Q25" i="15" s="1"/>
  <c r="N43" i="13" s="1"/>
  <c r="K24" i="15"/>
  <c r="J24" i="15" s="1"/>
  <c r="K25" i="15"/>
  <c r="J25" i="15" s="1"/>
  <c r="G25" i="15"/>
  <c r="J21" i="15"/>
  <c r="J23" i="15"/>
  <c r="M13" i="15"/>
  <c r="H24" i="15" s="1"/>
  <c r="E24" i="15" s="1"/>
  <c r="M12" i="15"/>
  <c r="H23" i="15" s="1"/>
  <c r="E23" i="15" s="1"/>
  <c r="I21" i="16"/>
  <c r="E20" i="16"/>
  <c r="M11" i="15"/>
  <c r="H22" i="15" s="1"/>
  <c r="E22" i="15" s="1"/>
  <c r="I20" i="16"/>
  <c r="Q26" i="15"/>
  <c r="E21" i="16"/>
  <c r="Q21" i="16" l="1"/>
  <c r="M56" i="13" s="1"/>
  <c r="Q20" i="16"/>
  <c r="Q26" i="16" l="1"/>
  <c r="M55" i="13"/>
  <c r="M60" i="13" s="1"/>
  <c r="E18" i="13" s="1"/>
  <c r="F17" i="6"/>
  <c r="F16" i="6"/>
  <c r="Q24" i="15" l="1"/>
  <c r="N42" i="13" s="1"/>
  <c r="F21" i="15"/>
  <c r="G21" i="15"/>
  <c r="E21" i="15" l="1"/>
  <c r="Q21" i="15" s="1"/>
  <c r="Q23" i="15"/>
  <c r="Q22" i="15" l="1"/>
  <c r="Q27" i="15" s="1"/>
  <c r="N39" i="13"/>
  <c r="N41" i="13"/>
  <c r="K22" i="18"/>
  <c r="N40" i="13" l="1"/>
  <c r="N45" i="13" s="1"/>
  <c r="E17" i="13" s="1"/>
  <c r="K27" i="18"/>
  <c r="F71" i="13"/>
  <c r="F76" i="13" s="1"/>
  <c r="E19" i="13" s="1"/>
  <c r="D140" i="13" l="1"/>
  <c r="D145" i="13" s="1"/>
  <c r="E24" i="13" s="1"/>
  <c r="E2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Christelle MATHIS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Christelle MATHIS:</t>
        </r>
        <r>
          <rPr>
            <sz val="9"/>
            <color indexed="81"/>
            <rFont val="Tahoma"/>
            <family val="2"/>
          </rPr>
          <t xml:space="preserve">
CM2/8/01 intégrant au moins 5 essences différentes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BERNARD-GARDES Céline</author>
  </authors>
  <commentList>
    <comment ref="O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oui= une cloture 
non = zéro cloture
erreur = deux clotures</t>
        </r>
      </text>
    </comment>
  </commentList>
</comments>
</file>

<file path=xl/sharedStrings.xml><?xml version="1.0" encoding="utf-8"?>
<sst xmlns="http://schemas.openxmlformats.org/spreadsheetml/2006/main" count="550" uniqueCount="303">
  <si>
    <t>Achat des plants</t>
  </si>
  <si>
    <t>% de plants MFR</t>
  </si>
  <si>
    <t>BANDE ENHERBÉE</t>
  </si>
  <si>
    <t>PLANTS</t>
  </si>
  <si>
    <t>PAILLAGE</t>
  </si>
  <si>
    <t>Optionnel</t>
  </si>
  <si>
    <t>Obligatoire</t>
  </si>
  <si>
    <t>SOL et PLANTATION</t>
  </si>
  <si>
    <t>Coût pour Haie 1 rang (en € HT/ml)</t>
  </si>
  <si>
    <t>Coût pour Haie 2 rangs (en € HT/ml)</t>
  </si>
  <si>
    <t>Coût (en € HT/arbre)</t>
  </si>
  <si>
    <t>PROTECTION INDIVIDUELLE GIBIER</t>
  </si>
  <si>
    <t>Achat et pose de protections individuelles grand gibier</t>
  </si>
  <si>
    <t>PLANTATION DE HAIES</t>
  </si>
  <si>
    <t>Achat et pose de protections individuelles</t>
  </si>
  <si>
    <t>Fiche de calcul des montants de dépenses éligibles</t>
  </si>
  <si>
    <t>Haies</t>
  </si>
  <si>
    <t xml:space="preserve">MESURE FEADER AGROFORESTERIE </t>
  </si>
  <si>
    <t>PROJET DE PLANTATION DE HAIE</t>
  </si>
  <si>
    <t>Nb de rangs</t>
  </si>
  <si>
    <t>Numéro de parcelle</t>
  </si>
  <si>
    <t>Numéro de la haie</t>
  </si>
  <si>
    <t>% de plants  Végétal Local</t>
  </si>
  <si>
    <t>Clôture électrique</t>
  </si>
  <si>
    <t>Clôture barbelée</t>
  </si>
  <si>
    <t>Clôture grillage</t>
  </si>
  <si>
    <t>Montant de l'assiette éligible</t>
  </si>
  <si>
    <t>Nom du porteur de projet</t>
  </si>
  <si>
    <t xml:space="preserve">Nom de la structure d'accompagnement </t>
  </si>
  <si>
    <t>PROJET DE PLANTATION D'ARBRES INTRAPARCELLAIRES</t>
  </si>
  <si>
    <t>Identification du projet</t>
  </si>
  <si>
    <t>Caractéristique de l'aménagement</t>
  </si>
  <si>
    <t>Numéro de l'aménagement</t>
  </si>
  <si>
    <t>Longueur (ml)</t>
  </si>
  <si>
    <t>SYNTHESE DU PROJET</t>
  </si>
  <si>
    <t>Plantation de haie</t>
  </si>
  <si>
    <t>Plantation d'arbres intraparcellaires</t>
  </si>
  <si>
    <t>Plantation de bosquets</t>
  </si>
  <si>
    <t>Type d'aménagement</t>
  </si>
  <si>
    <t>TOTAL</t>
  </si>
  <si>
    <t>Protection de la haie</t>
  </si>
  <si>
    <t>Achat de plants sans label</t>
  </si>
  <si>
    <t>Achat de plants Végétal local</t>
  </si>
  <si>
    <t>Achat de plants MFR</t>
  </si>
  <si>
    <t>Fourniture et pose du paillage</t>
  </si>
  <si>
    <t>Achat et pose d'une clôture électrique</t>
  </si>
  <si>
    <t>Achat et pose d'un grillage</t>
  </si>
  <si>
    <t>Achat et pose d'une clôture barbelé</t>
  </si>
  <si>
    <t>Haies et Arbres intraparcellaires</t>
  </si>
  <si>
    <t>liste déroulante</t>
  </si>
  <si>
    <t>oui</t>
  </si>
  <si>
    <t>non</t>
  </si>
  <si>
    <t>identification parcelle</t>
  </si>
  <si>
    <t>identification haie</t>
  </si>
  <si>
    <t>nb rangs</t>
  </si>
  <si>
    <t>densité de la haie</t>
  </si>
  <si>
    <t>caractéristique de la haie</t>
  </si>
  <si>
    <t>préparation du sol et mise en place des plants</t>
  </si>
  <si>
    <t>plants VL</t>
  </si>
  <si>
    <t>plants sans label</t>
  </si>
  <si>
    <t>plants MFR</t>
  </si>
  <si>
    <t>Achat et mise en place du paillage</t>
  </si>
  <si>
    <t>Entretien de la haie</t>
  </si>
  <si>
    <t>Nb théorique de plants</t>
  </si>
  <si>
    <t>longueur haie</t>
  </si>
  <si>
    <t>CALCUL DE L'ASSIETTE ELLIGIBLE</t>
  </si>
  <si>
    <t>Total coût des plants</t>
  </si>
  <si>
    <t>Cout plants VL</t>
  </si>
  <si>
    <t>Cout plants MFR</t>
  </si>
  <si>
    <t>Cout plants sans label</t>
  </si>
  <si>
    <t>total cout protection</t>
  </si>
  <si>
    <t>TOTAL ASSIETTE ELLIGIBLE</t>
  </si>
  <si>
    <t>Protection de la haie
1 système de protection obligatoire</t>
  </si>
  <si>
    <t>Arbres Intraparcellaires (AIP)</t>
  </si>
  <si>
    <t>longueur</t>
  </si>
  <si>
    <t>caractéristique de l'aménagement</t>
  </si>
  <si>
    <t>Achat et pose de protection pour les animaux d'élevage</t>
  </si>
  <si>
    <t>Entretien 3 ans</t>
  </si>
  <si>
    <t>Achat et pose de protection gibier</t>
  </si>
  <si>
    <t>PLANTATION D'ARBRES INTRAPARCELLAIRES</t>
  </si>
  <si>
    <t>Achat d'arbres Végétal local</t>
  </si>
  <si>
    <t>Achat d'arbres sans label</t>
  </si>
  <si>
    <t>Achat d'arbres MFR</t>
  </si>
  <si>
    <t>Identification parcelle</t>
  </si>
  <si>
    <t>Identification haie</t>
  </si>
  <si>
    <t>Achat et pose de protection gibiers</t>
  </si>
  <si>
    <t>Achat de plants Végétal Local</t>
  </si>
  <si>
    <t>% plants VL</t>
  </si>
  <si>
    <t>% plants MFR</t>
  </si>
  <si>
    <t>Nombre d'arbres plantés</t>
  </si>
  <si>
    <t xml:space="preserve">Catactéristiques de l'aménagement </t>
  </si>
  <si>
    <t>Indicateurs du projet</t>
  </si>
  <si>
    <t>total plants VL+MFR</t>
  </si>
  <si>
    <t>Achat et pose protections individuelles gibier</t>
  </si>
  <si>
    <t>Entretien de l'aménagement</t>
  </si>
  <si>
    <t>PLANTATION DE BOSQUETS</t>
  </si>
  <si>
    <t>PROJET DE PLANTATION DE BOSQUETS</t>
  </si>
  <si>
    <t>Bosquets</t>
  </si>
  <si>
    <t>Régénération naturelle assistée</t>
  </si>
  <si>
    <t>REGENERATION NATURELLE ASSISTEE</t>
  </si>
  <si>
    <t>PROJET DE REGENERATION NATURELLE ASSISTEE</t>
  </si>
  <si>
    <t>Un bosquet est un groupe d'arbres non linéaires de 100m² à 5 000m² avec 20% de plants hautes-tiges / 100% protection individuelle</t>
  </si>
  <si>
    <t>Coût par bosquet (en € / 100m²)</t>
  </si>
  <si>
    <t>densité 20 arbres / 100m²</t>
  </si>
  <si>
    <t>Achat et pose de protections individuelles  gibier</t>
  </si>
  <si>
    <t>graines VL préparées pour le semis</t>
  </si>
  <si>
    <t>obligatoire</t>
  </si>
  <si>
    <t>Coût RNAE avec enrichissement (€/ml)</t>
  </si>
  <si>
    <t>Coût RNAS avec semis
(€/ml)</t>
  </si>
  <si>
    <t>PROJET DE BANDE ENHERBEE MELLIFERE</t>
  </si>
  <si>
    <t>Bande enherbée mellifères</t>
  </si>
  <si>
    <t>Identification de l'aménagement</t>
  </si>
  <si>
    <t>Préparation du sol et mise en place des plants</t>
  </si>
  <si>
    <t>Type de RNA</t>
  </si>
  <si>
    <t>RNAE</t>
  </si>
  <si>
    <t>RNAS</t>
  </si>
  <si>
    <t>graines pour le semis</t>
  </si>
  <si>
    <t>espacement sur le rang</t>
  </si>
  <si>
    <t>Préparation du sol</t>
  </si>
  <si>
    <t>Graines pour le semis</t>
  </si>
  <si>
    <t>Achat et pose de la protection de la haie</t>
  </si>
  <si>
    <t>Clôture barbelé</t>
  </si>
  <si>
    <t>BANDE ENHERBEE MELLIFERE</t>
  </si>
  <si>
    <t>Coût par bande (€/m²)</t>
  </si>
  <si>
    <t>Les toiles et films composés de plastiques et "autres plastiques" (cf. composition) sont interdits à l'exception de ceux comportant jusqu'à 5% de PolyLactiAcid (PLA) maximum.</t>
  </si>
  <si>
    <t>RNAE : 1/3 du linéaire
Les toiles et films composés de plastiques et "autres plastiques" (cf. composition) sont interdits à l'exception de ceux comportant jusqu'à 5% de PolyLactiAcid (PLA) maximum.</t>
  </si>
  <si>
    <t>bande enherbée mellifère</t>
  </si>
  <si>
    <t>classique</t>
  </si>
  <si>
    <t>mellifère</t>
  </si>
  <si>
    <t xml:space="preserve">Linéaire de plants </t>
  </si>
  <si>
    <t>Linéaire VL</t>
  </si>
  <si>
    <t>Linéaire MFR</t>
  </si>
  <si>
    <t>Linéaire sans label</t>
  </si>
  <si>
    <t>Bande enherbée mellifère</t>
  </si>
  <si>
    <t>Nb d'arbres intraparcellaires</t>
  </si>
  <si>
    <t>Caractéristique du projet</t>
  </si>
  <si>
    <t>Surface du bosquet (m²)</t>
  </si>
  <si>
    <t xml:space="preserve">Numéro de l'aménagement </t>
  </si>
  <si>
    <t>sans export de terre</t>
  </si>
  <si>
    <t>avec export de terre</t>
  </si>
  <si>
    <t>Création mare</t>
  </si>
  <si>
    <t>Restauration mare</t>
  </si>
  <si>
    <t>CREATION DE MARES</t>
  </si>
  <si>
    <t>RESTAURATION DE MARES</t>
  </si>
  <si>
    <t>IMPLANTATION DE FASCINES</t>
  </si>
  <si>
    <t xml:space="preserve">MESURE FEADER INFRASTRUCTURES AGROECOLOGIQUES </t>
  </si>
  <si>
    <t>Agroforesteries "haies et arbres intraparcellaires"</t>
  </si>
  <si>
    <t xml:space="preserve">Création / restauration de mares </t>
  </si>
  <si>
    <t xml:space="preserve">Création / restauration de murets en pierres sèches </t>
  </si>
  <si>
    <r>
      <t>Préparation du sol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avant plantation et mise en place des plants</t>
    </r>
  </si>
  <si>
    <t>ENTRETIEN</t>
  </si>
  <si>
    <t xml:space="preserve">ENTRETIEN </t>
  </si>
  <si>
    <t>Protection obligatoire / type optionnel</t>
  </si>
  <si>
    <t>Préparation : décompactage, sous-solage, affinage en surface</t>
  </si>
  <si>
    <t>Préparation : décompactage, sous-solage, affinage en surface…</t>
  </si>
  <si>
    <t>Dégagement des jeunes plants, remplacement de plants morts, entretien du paillage et de la protection, taille de formation…</t>
  </si>
  <si>
    <t>Régénération Naturelle Assistée avec Enrichissement (RNAE) pour une haie 1 rang avec 1 plant / 3m</t>
  </si>
  <si>
    <t>PROTECTION ÉLEVAGE</t>
  </si>
  <si>
    <t>PROTECTION DE L'AMENAGEMENT</t>
  </si>
  <si>
    <t>Montant assiette éligible</t>
  </si>
  <si>
    <t>PROJET DE CREATION DE MARES</t>
  </si>
  <si>
    <t>PROJET DE RESTAURATION DE MARES</t>
  </si>
  <si>
    <t>PROJET D'IMPLANTATION DE FASCINES</t>
  </si>
  <si>
    <t>Implantation de fascines</t>
  </si>
  <si>
    <t>Création de mares</t>
  </si>
  <si>
    <t>Restauration de mares</t>
  </si>
  <si>
    <t>Restauration de murets</t>
  </si>
  <si>
    <t>Création de murets</t>
  </si>
  <si>
    <t>Choix d'un système de protection parmi les trois types de clôture
Si intraparcellaire / zone d'élevage : cout de la cloture x2</t>
  </si>
  <si>
    <t>Haie 1 rang : espacement de 1m sur le rang
Haie 2 rangs : espacement de 1,5m sur le rang
Préparation : décompactage, sous-solage, affinage en surface</t>
  </si>
  <si>
    <t>Mise en place d’une bande enherbée mellifère</t>
  </si>
  <si>
    <t>100% de protection très fortement recommandé, les situations sans abroutissement étant très rares</t>
  </si>
  <si>
    <t>parcelle prairiale</t>
  </si>
  <si>
    <t>Protection individuelle</t>
  </si>
  <si>
    <t>Obligatoire pour RNAS</t>
  </si>
  <si>
    <t>cout total protection</t>
  </si>
  <si>
    <t>Grillage</t>
  </si>
  <si>
    <t>Choix du système de protection entre la clôture elevage et la protection individuelle</t>
  </si>
  <si>
    <t>Obligatoire / type optionnel</t>
  </si>
  <si>
    <t>Recommandation RNAS : densité 20 graines / ml</t>
  </si>
  <si>
    <t>PREPARATION DU SOL</t>
  </si>
  <si>
    <t>Préparation : décompactage, sous-solage, affinage en surface…+ semis pour RNAS</t>
  </si>
  <si>
    <t>projet intraparcellaire</t>
  </si>
  <si>
    <t>Bande enherbée obligatoire sauf en cas de parcelle prairiale
bande enherbée de 2m 
Bande enherbée mellifère : semences Végétal local + semis</t>
  </si>
  <si>
    <t>Linaire de haie (m)</t>
  </si>
  <si>
    <t>Linéaire de RNA (m)</t>
  </si>
  <si>
    <t>bande enherbée entre 2 et 4 m de large</t>
  </si>
  <si>
    <t>Largeur de l'aménagement (m)</t>
  </si>
  <si>
    <t>Surface de bande enherbées (m²)</t>
  </si>
  <si>
    <r>
      <t>Achat et pose</t>
    </r>
    <r>
      <rPr>
        <sz val="10"/>
        <color theme="1"/>
        <rFont val="Calibri"/>
        <family val="2"/>
        <scheme val="minor"/>
      </rPr>
      <t xml:space="preserve"> de </t>
    </r>
    <r>
      <rPr>
        <sz val="10"/>
        <color rgb="FF000000"/>
        <rFont val="Calibri"/>
        <family val="2"/>
        <scheme val="minor"/>
      </rPr>
      <t>protections animaux  d'élevage</t>
    </r>
  </si>
  <si>
    <t>Un bosquet est un groupe d'arbres non linéaires de 100m² à 5 000m² avec 20% de plants hautes-tiges / 100% protection individuelle / densité de 20 arbres pour 100m²</t>
  </si>
  <si>
    <t>100% de protections individuelles</t>
  </si>
  <si>
    <t>longueur de l'aménagement (m)</t>
  </si>
  <si>
    <t>Surface de mares créees (m²)</t>
  </si>
  <si>
    <t>Surface de mares restaurées (m²)</t>
  </si>
  <si>
    <t>surface de la mare</t>
  </si>
  <si>
    <t>Surface de la mare</t>
  </si>
  <si>
    <t>menu déroulant</t>
  </si>
  <si>
    <t>Identification de la mare</t>
  </si>
  <si>
    <t>identification de la mare</t>
  </si>
  <si>
    <t>surface 1</t>
  </si>
  <si>
    <t>surface 2</t>
  </si>
  <si>
    <t>surface 3</t>
  </si>
  <si>
    <t>catégorie surface</t>
  </si>
  <si>
    <t>MESURE FEADER INFRASTRUCTURES AGROECOLOGIQUES "Agroforesterie"</t>
  </si>
  <si>
    <t>MESURE FEADER INFRASTRUCTURES AGROECOLOGIQUES "Mares"</t>
  </si>
  <si>
    <t>MESURE FEADER INFRASTRUCTURES AGROECOLOGIQUES "Fascines"</t>
  </si>
  <si>
    <t>Prise en compte de 15% de regarni dans le cout des plants
Pas de distinction entre hautes et basses tiges
50% min en nb de plants avec le label Végétal Local et/ou Matériel Forestier de Reproduction</t>
  </si>
  <si>
    <t>Obligatoire ≥ 50 %</t>
  </si>
  <si>
    <t>entre 25 et 99m²</t>
  </si>
  <si>
    <t>Création</t>
  </si>
  <si>
    <t>au m2</t>
  </si>
  <si>
    <t>Restauration</t>
  </si>
  <si>
    <r>
      <t xml:space="preserve">haie intraparcellaire </t>
    </r>
    <r>
      <rPr>
        <b/>
        <sz val="9"/>
        <color theme="1"/>
        <rFont val="Calibri"/>
        <family val="2"/>
        <scheme val="minor"/>
      </rPr>
      <t>(protection gibier des 2 côtés)</t>
    </r>
  </si>
  <si>
    <t>Achat et mise en place des plants 
&gt;50% VL+MFR</t>
  </si>
  <si>
    <t>Achat et pose de protections individuelles petits gibiers</t>
  </si>
  <si>
    <t>Achat et pose de protections individuelles grands gibiers</t>
  </si>
  <si>
    <t xml:space="preserve"> % protection individuelle petits gibiers</t>
  </si>
  <si>
    <t xml:space="preserve"> % protection individuelle grand gibier</t>
  </si>
  <si>
    <t>Total plants VL + MFR &gt;50%</t>
  </si>
  <si>
    <t>protection indiv petits gibiers (ml)</t>
  </si>
  <si>
    <t>protection indiv grands gibiers (ml)</t>
  </si>
  <si>
    <t>protection petits gibiers</t>
  </si>
  <si>
    <t>protection grands gibiers</t>
  </si>
  <si>
    <t>protection individuelle</t>
  </si>
  <si>
    <t>cout cloture</t>
  </si>
  <si>
    <t>Achat d'arbustes sans label</t>
  </si>
  <si>
    <t>Achat d'arbustes Végétal Local</t>
  </si>
  <si>
    <t>Achat d'arbustes MFR</t>
  </si>
  <si>
    <t>Nombre d'arbustes plantés</t>
  </si>
  <si>
    <t>Longueur</t>
  </si>
  <si>
    <t>nb d'arbustes</t>
  </si>
  <si>
    <t>Nb d'arbres</t>
  </si>
  <si>
    <t>cout arbustes MFR</t>
  </si>
  <si>
    <t>Achat et mise en place des plants 
(&gt;50% VL+MFR)</t>
  </si>
  <si>
    <t>Nb d'arbres  Végétal Local</t>
  </si>
  <si>
    <t>Nb d'arbres MFR</t>
  </si>
  <si>
    <t>Nb arbustes Végétal Local</t>
  </si>
  <si>
    <t>Nb arbustes MFR</t>
  </si>
  <si>
    <t>Nombre de protections individuelles gibier (arbres+arbustes)</t>
  </si>
  <si>
    <t>% de protection gibier (arbres+ arbustes)</t>
  </si>
  <si>
    <t>Achat des arbes</t>
  </si>
  <si>
    <t>achat des arbustes</t>
  </si>
  <si>
    <t>total cout arbustes</t>
  </si>
  <si>
    <t>cout arbustes VL</t>
  </si>
  <si>
    <t>cout arbustes sans label</t>
  </si>
  <si>
    <t>Total coût des arbres</t>
  </si>
  <si>
    <t>Cout des arbres VL</t>
  </si>
  <si>
    <t>Cout des arbres MFR</t>
  </si>
  <si>
    <t>Cout des arbres sans label</t>
  </si>
  <si>
    <t>Prise en compte de 15% de regarni lors de l'achat des plants
50% min en nb de plants avec le label Végétal Local et/ou Matériel Forestier de Reproduction</t>
  </si>
  <si>
    <t>Coût par fascine 
(€ / ml)</t>
  </si>
  <si>
    <t>éligiblité</t>
  </si>
  <si>
    <t>cout de la BEM</t>
  </si>
  <si>
    <t>Surface de la bande (m²)</t>
  </si>
  <si>
    <t>cout de la fascine</t>
  </si>
  <si>
    <t>fascine vivante</t>
  </si>
  <si>
    <t>Surface de l'aménagement (m²)</t>
  </si>
  <si>
    <t>Surface de bosquets (m²)</t>
  </si>
  <si>
    <t>linéaires de fascines (m)</t>
  </si>
  <si>
    <t>Contrôle cloture</t>
  </si>
  <si>
    <t>Mise en place 1 système protection</t>
  </si>
  <si>
    <t>Surface du bosquet (m²)
max 5000m²</t>
  </si>
  <si>
    <t>Un plant / 3m pour la RNA
50% min en nb de plants avec le label Végétal Local et/ou Matériel Forestier de Reproduction</t>
  </si>
  <si>
    <t>type RNA</t>
  </si>
  <si>
    <t>50% arbres et arbustes en VL+MFR</t>
  </si>
  <si>
    <t>cout du mur</t>
  </si>
  <si>
    <t>Prise en compte de 15% de regarni dans le cout des plants
Pas de distinction entre hautes et basses tiges
50% min en nb de plants avec le label Végétal Local et/ou Matériel Forestier de Reproduction
Minimum 5 essences différentes</t>
  </si>
  <si>
    <t>Choix du système de protection entre une clôture (quelque soit le type) et la protection individuelle
Si implantation en intraparcellaire : clôture double et cout multiplié par deux</t>
  </si>
  <si>
    <t>CREATION / RESTAURATION DE MURS</t>
  </si>
  <si>
    <t>PROJET DE CREATION DE MURS</t>
  </si>
  <si>
    <t>MESURE FEADER INFRASTRUCTURES AGROECOLOGIQUES "Murs de pierres sèches"</t>
  </si>
  <si>
    <t>Restauration de murs</t>
  </si>
  <si>
    <t xml:space="preserve">Création / restauration de murs en pierres sèches </t>
  </si>
  <si>
    <t>surface 4</t>
  </si>
  <si>
    <t>Entre 100 et 199 m²</t>
  </si>
  <si>
    <t>Entre 200 et 299 m²</t>
  </si>
  <si>
    <t>Travaux de creusement
(€/m²)</t>
  </si>
  <si>
    <t>cout travaux</t>
  </si>
  <si>
    <t>travaux restauration</t>
  </si>
  <si>
    <t>travaux de restauration (€/m²)</t>
  </si>
  <si>
    <t>TOTAL ASSIETTE ELIGIBLE</t>
  </si>
  <si>
    <t>CALCUL DE L'ASSIETTE ELIGIBLE</t>
  </si>
  <si>
    <t>SEMENCES MELLIFERES Labélisées Végétal Local</t>
  </si>
  <si>
    <t>préparation du sol, achat des semences et semis</t>
  </si>
  <si>
    <t>fascine morte + haie 3 rangs espacement 0,33m entre chaque plant</t>
  </si>
  <si>
    <t>préparation du sol, implantation d'une haie 3 rangs, paillage, protections gibier, entretien</t>
  </si>
  <si>
    <t>fascine morte + haie 3 rangs espacement de 0,33m entre chaque plant
plants : minimum 50% VL et/ou MFR et 5 essences différentes</t>
  </si>
  <si>
    <t>Entre 300 et 500 m²</t>
  </si>
  <si>
    <t>Montant du devis retenu</t>
  </si>
  <si>
    <t>PROJET DE RESTAURATION DE MURS</t>
  </si>
  <si>
    <t xml:space="preserve"> selon le montant HT du devis retenu</t>
  </si>
  <si>
    <t>Surface de murs créés (m²)</t>
  </si>
  <si>
    <t>Surface de murs restaurées (m²)</t>
  </si>
  <si>
    <t>protection élevage</t>
  </si>
  <si>
    <t>Contrôle protection</t>
  </si>
  <si>
    <t xml:space="preserve">Numéro de version </t>
  </si>
  <si>
    <t>Date d'émission</t>
  </si>
  <si>
    <t>Nature des modifications</t>
  </si>
  <si>
    <t>Correction calcul AIP</t>
  </si>
  <si>
    <t>Correction bande enherbée RNA</t>
  </si>
  <si>
    <t>f1</t>
  </si>
  <si>
    <t>Correction calcul PIG haies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</si>
</sst>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0.0%"/>
  </numFmts>
  <fonts count="5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8" tint="-0.249977111117893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  <font>
      <sz val="12"/>
      <color rgb="FF1F497D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5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5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C00000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2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77">
    <xf numFmtId="0" fontId="0" fillId="0" borderId="0" xfId="0"/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8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8" fontId="4" fillId="6" borderId="7" xfId="0" applyNumberFormat="1" applyFont="1" applyFill="1" applyBorder="1" applyAlignment="1">
      <alignment horizontal="center" vertical="center" wrapText="1"/>
    </xf>
    <xf numFmtId="164" fontId="6" fillId="6" borderId="3" xfId="0" applyNumberFormat="1" applyFont="1" applyFill="1" applyBorder="1" applyAlignment="1">
      <alignment horizontal="center" vertical="center" wrapText="1"/>
    </xf>
    <xf numFmtId="164" fontId="6" fillId="6" borderId="3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8" fontId="4" fillId="6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9" fontId="0" fillId="0" borderId="13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right" vertic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0" fillId="0" borderId="13" xfId="0" applyNumberFormat="1" applyBorder="1" applyAlignment="1">
      <alignment horizontal="right"/>
    </xf>
    <xf numFmtId="164" fontId="10" fillId="5" borderId="3" xfId="0" applyNumberFormat="1" applyFont="1" applyFill="1" applyBorder="1"/>
    <xf numFmtId="0" fontId="13" fillId="0" borderId="0" xfId="0" applyFont="1" applyFill="1" applyAlignment="1"/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9" fontId="0" fillId="0" borderId="15" xfId="1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/>
    </xf>
    <xf numFmtId="9" fontId="0" fillId="0" borderId="15" xfId="1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12" fillId="4" borderId="0" xfId="0" applyFont="1" applyFill="1"/>
    <xf numFmtId="0" fontId="11" fillId="3" borderId="2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8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64" fontId="10" fillId="5" borderId="6" xfId="0" applyNumberFormat="1" applyFont="1" applyFill="1" applyBorder="1"/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0" xfId="0" applyFill="1"/>
    <xf numFmtId="0" fontId="0" fillId="0" borderId="13" xfId="0" applyFill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center" vertical="center" wrapText="1"/>
    </xf>
    <xf numFmtId="9" fontId="0" fillId="0" borderId="13" xfId="0" applyNumberFormat="1" applyFill="1" applyBorder="1" applyAlignment="1">
      <alignment horizontal="center" vertical="center" wrapText="1"/>
    </xf>
    <xf numFmtId="0" fontId="11" fillId="0" borderId="0" xfId="0" applyFont="1" applyFill="1"/>
    <xf numFmtId="164" fontId="0" fillId="0" borderId="13" xfId="0" applyNumberFormat="1" applyFill="1" applyBorder="1" applyAlignment="1">
      <alignment horizontal="right" vertical="center" wrapText="1"/>
    </xf>
    <xf numFmtId="164" fontId="0" fillId="0" borderId="13" xfId="0" applyNumberFormat="1" applyFill="1" applyBorder="1" applyAlignment="1">
      <alignment horizontal="right"/>
    </xf>
    <xf numFmtId="164" fontId="0" fillId="5" borderId="13" xfId="0" applyNumberFormat="1" applyFill="1" applyBorder="1"/>
    <xf numFmtId="0" fontId="0" fillId="0" borderId="0" xfId="0" applyFont="1" applyFill="1" applyBorder="1"/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 wrapText="1"/>
    </xf>
    <xf numFmtId="8" fontId="14" fillId="0" borderId="5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8" fontId="14" fillId="6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14" fillId="0" borderId="12" xfId="0" applyFont="1" applyFill="1" applyBorder="1" applyAlignment="1">
      <alignment horizontal="center" vertical="center" wrapText="1"/>
    </xf>
    <xf numFmtId="8" fontId="1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11" fillId="3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9" fontId="0" fillId="0" borderId="20" xfId="1" applyFont="1" applyFill="1" applyBorder="1" applyAlignment="1">
      <alignment horizontal="center" vertical="center"/>
    </xf>
    <xf numFmtId="9" fontId="0" fillId="0" borderId="16" xfId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9" fontId="0" fillId="0" borderId="14" xfId="1" applyFont="1" applyFill="1" applyBorder="1" applyAlignment="1">
      <alignment horizontal="center" vertical="center"/>
    </xf>
    <xf numFmtId="9" fontId="0" fillId="0" borderId="19" xfId="1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9" fontId="0" fillId="0" borderId="25" xfId="1" applyFont="1" applyFill="1" applyBorder="1" applyAlignment="1">
      <alignment horizontal="center" vertical="center"/>
    </xf>
    <xf numFmtId="9" fontId="0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0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vertical="center"/>
    </xf>
    <xf numFmtId="2" fontId="18" fillId="0" borderId="42" xfId="0" applyNumberFormat="1" applyFont="1" applyFill="1" applyBorder="1" applyAlignment="1">
      <alignment vertical="center"/>
    </xf>
    <xf numFmtId="2" fontId="18" fillId="0" borderId="43" xfId="0" applyNumberFormat="1" applyFont="1" applyFill="1" applyBorder="1" applyAlignment="1">
      <alignment vertical="center"/>
    </xf>
    <xf numFmtId="164" fontId="11" fillId="3" borderId="10" xfId="0" applyNumberFormat="1" applyFont="1" applyFill="1" applyBorder="1" applyAlignment="1"/>
    <xf numFmtId="164" fontId="11" fillId="3" borderId="57" xfId="0" applyNumberFormat="1" applyFont="1" applyFill="1" applyBorder="1" applyAlignment="1"/>
    <xf numFmtId="164" fontId="11" fillId="3" borderId="8" xfId="0" applyNumberFormat="1" applyFont="1" applyFill="1" applyBorder="1" applyAlignment="1"/>
    <xf numFmtId="164" fontId="11" fillId="3" borderId="3" xfId="0" applyNumberFormat="1" applyFont="1" applyFill="1" applyBorder="1" applyAlignment="1"/>
    <xf numFmtId="0" fontId="10" fillId="0" borderId="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3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64" fontId="27" fillId="0" borderId="42" xfId="0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vertical="center"/>
    </xf>
    <xf numFmtId="0" fontId="28" fillId="0" borderId="61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left" vertical="center"/>
    </xf>
    <xf numFmtId="164" fontId="27" fillId="0" borderId="51" xfId="0" applyNumberFormat="1" applyFont="1" applyFill="1" applyBorder="1" applyAlignment="1">
      <alignment horizontal="right" vertical="center"/>
    </xf>
    <xf numFmtId="2" fontId="18" fillId="0" borderId="44" xfId="0" applyNumberFormat="1" applyFont="1" applyFill="1" applyBorder="1" applyAlignment="1">
      <alignment vertical="center"/>
    </xf>
    <xf numFmtId="0" fontId="29" fillId="8" borderId="39" xfId="0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horizontal="right" vertical="center"/>
    </xf>
    <xf numFmtId="0" fontId="27" fillId="8" borderId="39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right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 wrapText="1"/>
    </xf>
    <xf numFmtId="8" fontId="14" fillId="9" borderId="7" xfId="0" applyNumberFormat="1" applyFont="1" applyFill="1" applyBorder="1" applyAlignment="1">
      <alignment horizontal="center" vertical="center" wrapText="1"/>
    </xf>
    <xf numFmtId="8" fontId="16" fillId="9" borderId="7" xfId="0" applyNumberFormat="1" applyFont="1" applyFill="1" applyBorder="1" applyAlignment="1">
      <alignment horizontal="center" vertical="center" wrapText="1"/>
    </xf>
    <xf numFmtId="1" fontId="0" fillId="0" borderId="13" xfId="1" applyNumberFormat="1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 vertical="center"/>
    </xf>
    <xf numFmtId="1" fontId="0" fillId="0" borderId="28" xfId="1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/>
    </xf>
    <xf numFmtId="1" fontId="0" fillId="0" borderId="15" xfId="1" applyNumberFormat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64" fontId="11" fillId="3" borderId="57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8" fontId="6" fillId="0" borderId="4" xfId="0" applyNumberFormat="1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/>
    </xf>
    <xf numFmtId="164" fontId="11" fillId="3" borderId="59" xfId="0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11" fillId="3" borderId="4" xfId="0" applyFont="1" applyFill="1" applyBorder="1" applyAlignment="1">
      <alignment vertical="center" wrapText="1"/>
    </xf>
    <xf numFmtId="0" fontId="11" fillId="3" borderId="32" xfId="0" applyFont="1" applyFill="1" applyBorder="1" applyAlignment="1">
      <alignment vertical="center" wrapText="1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0" borderId="0" xfId="0" applyAlignment="1"/>
    <xf numFmtId="0" fontId="0" fillId="0" borderId="0" xfId="0" applyFont="1" applyFill="1" applyAlignment="1"/>
    <xf numFmtId="0" fontId="1" fillId="0" borderId="41" xfId="0" applyFont="1" applyBorder="1" applyAlignment="1">
      <alignment vertical="center"/>
    </xf>
    <xf numFmtId="165" fontId="24" fillId="0" borderId="3" xfId="2" applyNumberFormat="1" applyFont="1" applyFill="1" applyBorder="1" applyAlignment="1">
      <alignment horizontal="center" vertical="center"/>
    </xf>
    <xf numFmtId="8" fontId="17" fillId="0" borderId="0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0" fontId="11" fillId="3" borderId="4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44" fontId="0" fillId="0" borderId="13" xfId="2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vertical="center"/>
    </xf>
    <xf numFmtId="164" fontId="10" fillId="5" borderId="6" xfId="2" applyNumberFormat="1" applyFont="1" applyFill="1" applyBorder="1"/>
    <xf numFmtId="0" fontId="8" fillId="0" borderId="0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8" fontId="6" fillId="0" borderId="7" xfId="0" applyNumberFormat="1" applyFont="1" applyFill="1" applyBorder="1" applyAlignment="1">
      <alignment horizontal="center" vertical="center" wrapText="1"/>
    </xf>
    <xf numFmtId="8" fontId="16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11" fillId="3" borderId="4" xfId="0" applyFont="1" applyFill="1" applyBorder="1" applyAlignment="1"/>
    <xf numFmtId="0" fontId="11" fillId="3" borderId="32" xfId="0" applyFont="1" applyFill="1" applyBorder="1" applyAlignment="1"/>
    <xf numFmtId="0" fontId="11" fillId="3" borderId="5" xfId="0" applyFont="1" applyFill="1" applyBorder="1" applyAlignment="1"/>
    <xf numFmtId="0" fontId="11" fillId="3" borderId="37" xfId="0" applyFont="1" applyFill="1" applyBorder="1" applyAlignment="1">
      <alignment wrapText="1"/>
    </xf>
    <xf numFmtId="0" fontId="11" fillId="3" borderId="38" xfId="0" applyFont="1" applyFill="1" applyBorder="1" applyAlignment="1">
      <alignment wrapText="1"/>
    </xf>
    <xf numFmtId="0" fontId="11" fillId="3" borderId="52" xfId="0" applyFont="1" applyFill="1" applyBorder="1" applyAlignment="1">
      <alignment wrapText="1"/>
    </xf>
    <xf numFmtId="0" fontId="11" fillId="3" borderId="53" xfId="0" applyFont="1" applyFill="1" applyBorder="1" applyAlignment="1">
      <alignment wrapText="1"/>
    </xf>
    <xf numFmtId="0" fontId="0" fillId="3" borderId="37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11" fillId="3" borderId="62" xfId="0" applyFont="1" applyFill="1" applyBorder="1" applyAlignment="1">
      <alignment horizontal="center" vertical="center" wrapText="1"/>
    </xf>
    <xf numFmtId="1" fontId="0" fillId="0" borderId="14" xfId="1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13" xfId="0" applyNumberFormat="1" applyBorder="1" applyAlignment="1">
      <alignment vertical="center"/>
    </xf>
    <xf numFmtId="164" fontId="0" fillId="0" borderId="13" xfId="0" applyNumberFormat="1" applyBorder="1" applyAlignment="1">
      <alignment horizontal="right" vertical="center"/>
    </xf>
    <xf numFmtId="164" fontId="11" fillId="5" borderId="13" xfId="0" applyNumberFormat="1" applyFont="1" applyFill="1" applyBorder="1"/>
    <xf numFmtId="0" fontId="0" fillId="0" borderId="18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164" fontId="11" fillId="3" borderId="31" xfId="0" applyNumberFormat="1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 vertical="center"/>
    </xf>
    <xf numFmtId="164" fontId="11" fillId="3" borderId="57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164" fontId="0" fillId="0" borderId="54" xfId="0" applyNumberFormat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1" fontId="0" fillId="0" borderId="13" xfId="0" applyNumberForma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8" fontId="14" fillId="2" borderId="5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0" fontId="11" fillId="3" borderId="50" xfId="0" applyFont="1" applyFill="1" applyBorder="1" applyAlignment="1">
      <alignment horizontal="center" vertical="center" wrapText="1"/>
    </xf>
    <xf numFmtId="9" fontId="0" fillId="0" borderId="21" xfId="1" applyFont="1" applyFill="1" applyBorder="1" applyAlignment="1">
      <alignment horizontal="center" vertical="center"/>
    </xf>
    <xf numFmtId="9" fontId="0" fillId="0" borderId="47" xfId="1" applyFont="1" applyFill="1" applyBorder="1" applyAlignment="1">
      <alignment horizontal="center" vertical="center"/>
    </xf>
    <xf numFmtId="9" fontId="0" fillId="0" borderId="42" xfId="1" applyFont="1" applyFill="1" applyBorder="1" applyAlignment="1">
      <alignment horizontal="center" vertical="center"/>
    </xf>
    <xf numFmtId="9" fontId="0" fillId="0" borderId="43" xfId="1" applyFont="1" applyFill="1" applyBorder="1" applyAlignment="1">
      <alignment horizontal="center" vertical="center"/>
    </xf>
    <xf numFmtId="164" fontId="11" fillId="3" borderId="66" xfId="0" applyNumberFormat="1" applyFont="1" applyFill="1" applyBorder="1" applyAlignment="1">
      <alignment horizontal="center"/>
    </xf>
    <xf numFmtId="0" fontId="11" fillId="3" borderId="51" xfId="0" applyFont="1" applyFill="1" applyBorder="1" applyAlignment="1">
      <alignment horizontal="center" vertical="center" wrapText="1"/>
    </xf>
    <xf numFmtId="0" fontId="39" fillId="0" borderId="0" xfId="0" applyFont="1"/>
    <xf numFmtId="0" fontId="39" fillId="0" borderId="0" xfId="0" applyFont="1" applyAlignment="1">
      <alignment wrapText="1"/>
    </xf>
    <xf numFmtId="0" fontId="39" fillId="0" borderId="0" xfId="0" applyFont="1" applyFill="1"/>
    <xf numFmtId="0" fontId="39" fillId="0" borderId="65" xfId="0" applyFont="1" applyFill="1" applyBorder="1" applyAlignment="1">
      <alignment horizontal="left" vertical="center"/>
    </xf>
    <xf numFmtId="0" fontId="40" fillId="0" borderId="0" xfId="0" applyFont="1"/>
    <xf numFmtId="0" fontId="40" fillId="0" borderId="0" xfId="0" applyFont="1" applyFill="1"/>
    <xf numFmtId="164" fontId="24" fillId="0" borderId="7" xfId="2" applyNumberFormat="1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 wrapText="1"/>
    </xf>
    <xf numFmtId="7" fontId="24" fillId="0" borderId="7" xfId="2" applyNumberFormat="1" applyFont="1" applyFill="1" applyBorder="1" applyAlignment="1">
      <alignment horizontal="center" vertical="center"/>
    </xf>
    <xf numFmtId="0" fontId="41" fillId="0" borderId="0" xfId="0" applyFont="1" applyFill="1"/>
    <xf numFmtId="0" fontId="42" fillId="0" borderId="0" xfId="0" applyFont="1" applyFill="1" applyAlignment="1">
      <alignment vertical="center"/>
    </xf>
    <xf numFmtId="0" fontId="43" fillId="0" borderId="0" xfId="0" applyFont="1" applyFill="1" applyAlignment="1"/>
    <xf numFmtId="0" fontId="41" fillId="0" borderId="0" xfId="0" applyFont="1" applyFill="1" applyAlignment="1"/>
    <xf numFmtId="0" fontId="44" fillId="3" borderId="0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vertical="center"/>
    </xf>
    <xf numFmtId="164" fontId="44" fillId="2" borderId="0" xfId="0" applyNumberFormat="1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 wrapText="1"/>
    </xf>
    <xf numFmtId="164" fontId="44" fillId="0" borderId="0" xfId="0" applyNumberFormat="1" applyFont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8" fontId="44" fillId="0" borderId="0" xfId="0" applyNumberFormat="1" applyFont="1" applyBorder="1" applyAlignment="1">
      <alignment vertical="center"/>
    </xf>
    <xf numFmtId="0" fontId="41" fillId="0" borderId="0" xfId="0" applyFont="1"/>
    <xf numFmtId="0" fontId="45" fillId="0" borderId="0" xfId="0" applyFont="1" applyAlignment="1">
      <alignment vertical="center"/>
    </xf>
    <xf numFmtId="0" fontId="41" fillId="0" borderId="0" xfId="0" applyFont="1" applyAlignment="1">
      <alignment wrapText="1"/>
    </xf>
    <xf numFmtId="9" fontId="0" fillId="0" borderId="0" xfId="0" applyNumberFormat="1" applyFont="1" applyFill="1"/>
    <xf numFmtId="0" fontId="41" fillId="0" borderId="0" xfId="0" applyFont="1" applyAlignment="1"/>
    <xf numFmtId="0" fontId="39" fillId="0" borderId="0" xfId="0" applyFont="1" applyAlignment="1"/>
    <xf numFmtId="0" fontId="46" fillId="0" borderId="0" xfId="0" applyFont="1"/>
    <xf numFmtId="0" fontId="47" fillId="0" borderId="0" xfId="0" applyFont="1" applyBorder="1" applyAlignment="1">
      <alignment horizontal="left" vertical="center"/>
    </xf>
    <xf numFmtId="164" fontId="0" fillId="0" borderId="13" xfId="0" applyNumberForma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/>
    </xf>
    <xf numFmtId="0" fontId="44" fillId="2" borderId="0" xfId="0" applyFont="1" applyFill="1" applyBorder="1" applyAlignment="1">
      <alignment vertical="center" wrapText="1"/>
    </xf>
    <xf numFmtId="0" fontId="24" fillId="7" borderId="5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 vertical="center" wrapText="1"/>
    </xf>
    <xf numFmtId="0" fontId="49" fillId="3" borderId="47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6" fontId="33" fillId="2" borderId="43" xfId="0" applyNumberFormat="1" applyFont="1" applyFill="1" applyBorder="1" applyAlignment="1">
      <alignment horizontal="center" vertical="center" wrapText="1"/>
    </xf>
    <xf numFmtId="164" fontId="51" fillId="8" borderId="39" xfId="0" applyNumberFormat="1" applyFon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 wrapText="1"/>
    </xf>
    <xf numFmtId="164" fontId="0" fillId="0" borderId="13" xfId="2" applyNumberFormat="1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14" fontId="11" fillId="0" borderId="13" xfId="0" applyNumberFormat="1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 wrapText="1"/>
    </xf>
    <xf numFmtId="0" fontId="11" fillId="7" borderId="13" xfId="0" applyFont="1" applyFill="1" applyBorder="1" applyAlignment="1">
      <alignment horizontal="center"/>
    </xf>
    <xf numFmtId="1" fontId="0" fillId="0" borderId="13" xfId="1" applyNumberFormat="1" applyFont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/>
    </xf>
    <xf numFmtId="14" fontId="52" fillId="0" borderId="13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left"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37" fillId="0" borderId="12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164" fontId="38" fillId="2" borderId="12" xfId="0" applyNumberFormat="1" applyFont="1" applyFill="1" applyBorder="1" applyAlignment="1">
      <alignment horizontal="left" vertical="center" wrapText="1"/>
    </xf>
    <xf numFmtId="164" fontId="38" fillId="2" borderId="0" xfId="0" applyNumberFormat="1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2" fillId="7" borderId="50" xfId="0" applyFont="1" applyFill="1" applyBorder="1" applyAlignment="1">
      <alignment horizontal="center" vertical="center" wrapText="1"/>
    </xf>
    <xf numFmtId="0" fontId="32" fillId="7" borderId="5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37" fillId="0" borderId="12" xfId="0" applyFont="1" applyFill="1" applyBorder="1" applyAlignment="1">
      <alignment horizontal="left" wrapText="1"/>
    </xf>
    <xf numFmtId="0" fontId="37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50" fillId="8" borderId="37" xfId="0" applyFont="1" applyFill="1" applyBorder="1" applyAlignment="1">
      <alignment horizontal="center" vertical="center"/>
    </xf>
    <xf numFmtId="0" fontId="50" fillId="8" borderId="38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18" fillId="8" borderId="37" xfId="0" applyFont="1" applyFill="1" applyBorder="1" applyAlignment="1">
      <alignment horizontal="center" vertical="center" wrapText="1"/>
    </xf>
    <xf numFmtId="0" fontId="18" fillId="8" borderId="38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18" fillId="8" borderId="37" xfId="0" applyFont="1" applyFill="1" applyBorder="1" applyAlignment="1">
      <alignment horizontal="center" vertical="center"/>
    </xf>
    <xf numFmtId="0" fontId="18" fillId="8" borderId="38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164" fontId="11" fillId="3" borderId="26" xfId="0" applyNumberFormat="1" applyFont="1" applyFill="1" applyBorder="1" applyAlignment="1">
      <alignment horizontal="center"/>
    </xf>
    <xf numFmtId="164" fontId="11" fillId="3" borderId="44" xfId="0" applyNumberFormat="1" applyFont="1" applyFill="1" applyBorder="1" applyAlignment="1">
      <alignment horizontal="center"/>
    </xf>
    <xf numFmtId="164" fontId="11" fillId="3" borderId="25" xfId="0" applyNumberFormat="1" applyFont="1" applyFill="1" applyBorder="1" applyAlignment="1">
      <alignment horizontal="center"/>
    </xf>
    <xf numFmtId="164" fontId="11" fillId="3" borderId="42" xfId="0" applyNumberFormat="1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 wrapText="1"/>
    </xf>
    <xf numFmtId="164" fontId="11" fillId="3" borderId="50" xfId="0" applyNumberFormat="1" applyFont="1" applyFill="1" applyBorder="1" applyAlignment="1">
      <alignment horizontal="center"/>
    </xf>
    <xf numFmtId="164" fontId="11" fillId="3" borderId="51" xfId="0" applyNumberFormat="1" applyFont="1" applyFill="1" applyBorder="1" applyAlignment="1">
      <alignment horizontal="center"/>
    </xf>
    <xf numFmtId="164" fontId="11" fillId="3" borderId="37" xfId="0" applyNumberFormat="1" applyFont="1" applyFill="1" applyBorder="1" applyAlignment="1">
      <alignment horizontal="center"/>
    </xf>
    <xf numFmtId="164" fontId="11" fillId="3" borderId="39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wrapText="1"/>
    </xf>
    <xf numFmtId="0" fontId="11" fillId="3" borderId="3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164" fontId="11" fillId="3" borderId="37" xfId="0" applyNumberFormat="1" applyFont="1" applyFill="1" applyBorder="1" applyAlignment="1">
      <alignment horizontal="center" vertical="center"/>
    </xf>
    <xf numFmtId="164" fontId="11" fillId="3" borderId="3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164" fontId="11" fillId="3" borderId="24" xfId="0" applyNumberFormat="1" applyFont="1" applyFill="1" applyBorder="1" applyAlignment="1">
      <alignment horizontal="center"/>
    </xf>
    <xf numFmtId="164" fontId="11" fillId="3" borderId="48" xfId="0" applyNumberFormat="1" applyFont="1" applyFill="1" applyBorder="1" applyAlignment="1">
      <alignment horizontal="center"/>
    </xf>
    <xf numFmtId="164" fontId="11" fillId="3" borderId="17" xfId="0" applyNumberFormat="1" applyFont="1" applyFill="1" applyBorder="1" applyAlignment="1">
      <alignment horizontal="center"/>
    </xf>
    <xf numFmtId="164" fontId="11" fillId="3" borderId="60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46" fillId="0" borderId="67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0" fillId="0" borderId="13" xfId="0" applyNumberForma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CC99"/>
      <color rgb="FF76B531"/>
      <color rgb="FF2FAD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1284336</xdr:colOff>
      <xdr:row>1</xdr:row>
      <xdr:rowOff>0</xdr:rowOff>
    </xdr:from>
    <xdr:to>
      <xdr:col>3</xdr:col>
      <xdr:colOff>970643</xdr:colOff>
      <xdr:row>3</xdr:row>
      <xdr:rowOff>119017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84336" y="104141"/>
          <a:ext cx="1192164" cy="694146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107950</xdr:colOff>
      <xdr:row>1</xdr:row>
      <xdr:rowOff>0</xdr:rowOff>
    </xdr:from>
    <xdr:to>
      <xdr:col>2</xdr:col>
      <xdr:colOff>1279071</xdr:colOff>
      <xdr:row>3</xdr:row>
      <xdr:rowOff>34018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44450"/>
          <a:ext cx="1171121" cy="608693"/>
        </a:xfrm>
        <a:prstGeom prst="rect">
          <a:avLst/>
        </a:prstGeom>
      </xdr:spPr>
    </xdr:pic>
    <xdr:clientData/>
  </xdr:twoCellAnchor>
  <xdr:twoCellAnchor editAs="oneCell">
    <xdr:from>
      <xdr:col>3</xdr:col>
      <xdr:colOff>861109</xdr:colOff>
      <xdr:row>1</xdr:row>
      <xdr:rowOff>0</xdr:rowOff>
    </xdr:from>
    <xdr:to>
      <xdr:col>3</xdr:col>
      <xdr:colOff>1959429</xdr:colOff>
      <xdr:row>3</xdr:row>
      <xdr:rowOff>207007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66966" y="94618"/>
          <a:ext cx="1098320" cy="785311"/>
        </a:xfrm>
        <a:prstGeom prst="rect">
          <a:avLst/>
        </a:prstGeom>
      </xdr:spPr>
    </xdr:pic>
    <xdr:clientData/>
  </xdr:twoCellAnchor>
  <xdr:twoCellAnchor editAs="oneCell">
    <xdr:from>
      <xdr:col>7</xdr:col>
      <xdr:colOff>3385156</xdr:colOff>
      <xdr:row>1</xdr:row>
      <xdr:rowOff>0</xdr:rowOff>
    </xdr:from>
    <xdr:to>
      <xdr:col>8</xdr:col>
      <xdr:colOff>1558505</xdr:colOff>
      <xdr:row>3</xdr:row>
      <xdr:rowOff>99183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656" y="142117"/>
          <a:ext cx="1842407" cy="689733"/>
        </a:xfrm>
        <a:prstGeom prst="rect">
          <a:avLst/>
        </a:prstGeom>
      </xdr:spPr>
    </xdr:pic>
    <xdr:clientData/>
  </xdr:twoCellAnchor>
  <xdr:twoCellAnchor editAs="oneCell">
    <xdr:from>
      <xdr:col>9</xdr:col>
      <xdr:colOff>661639</xdr:colOff>
      <xdr:row>1</xdr:row>
      <xdr:rowOff>0</xdr:rowOff>
    </xdr:from>
    <xdr:to>
      <xdr:col>12</xdr:col>
      <xdr:colOff>53068</xdr:colOff>
      <xdr:row>3</xdr:row>
      <xdr:rowOff>97368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9439" y="105833"/>
          <a:ext cx="1972703" cy="6879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145345</xdr:rowOff>
    </xdr:from>
    <xdr:to>
      <xdr:col>1</xdr:col>
      <xdr:colOff>608894</xdr:colOff>
      <xdr:row>3</xdr:row>
      <xdr:rowOff>1411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45345"/>
          <a:ext cx="1599494" cy="702733"/>
        </a:xfrm>
        <a:prstGeom prst="rect">
          <a:avLst/>
        </a:prstGeom>
      </xdr:spPr>
    </xdr:pic>
    <xdr:clientData/>
  </xdr:twoCellAnchor>
  <xdr:twoCellAnchor editAs="oneCell">
    <xdr:from>
      <xdr:col>3</xdr:col>
      <xdr:colOff>80858</xdr:colOff>
      <xdr:row>1</xdr:row>
      <xdr:rowOff>1</xdr:rowOff>
    </xdr:from>
    <xdr:to>
      <xdr:col>4</xdr:col>
      <xdr:colOff>126789</xdr:colOff>
      <xdr:row>4</xdr:row>
      <xdr:rowOff>16087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8775" y="179918"/>
          <a:ext cx="1455842" cy="897466"/>
        </a:xfrm>
        <a:prstGeom prst="rect">
          <a:avLst/>
        </a:prstGeom>
      </xdr:spPr>
    </xdr:pic>
    <xdr:clientData/>
  </xdr:twoCellAnchor>
  <xdr:twoCellAnchor editAs="oneCell">
    <xdr:from>
      <xdr:col>1</xdr:col>
      <xdr:colOff>577146</xdr:colOff>
      <xdr:row>1</xdr:row>
      <xdr:rowOff>8888</xdr:rowOff>
    </xdr:from>
    <xdr:to>
      <xdr:col>3</xdr:col>
      <xdr:colOff>101813</xdr:colOff>
      <xdr:row>3</xdr:row>
      <xdr:rowOff>229305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4313" y="188805"/>
          <a:ext cx="1723672" cy="86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603250</xdr:colOff>
      <xdr:row>1</xdr:row>
      <xdr:rowOff>84262</xdr:rowOff>
    </xdr:from>
    <xdr:to>
      <xdr:col>13</xdr:col>
      <xdr:colOff>282786</xdr:colOff>
      <xdr:row>3</xdr:row>
      <xdr:rowOff>130810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83" y="264179"/>
          <a:ext cx="2074333" cy="688321"/>
        </a:xfrm>
        <a:prstGeom prst="rect">
          <a:avLst/>
        </a:prstGeom>
      </xdr:spPr>
    </xdr:pic>
    <xdr:clientData/>
  </xdr:twoCellAnchor>
  <xdr:twoCellAnchor editAs="oneCell">
    <xdr:from>
      <xdr:col>13</xdr:col>
      <xdr:colOff>411366</xdr:colOff>
      <xdr:row>1</xdr:row>
      <xdr:rowOff>57151</xdr:rowOff>
    </xdr:from>
    <xdr:to>
      <xdr:col>15</xdr:col>
      <xdr:colOff>130810</xdr:colOff>
      <xdr:row>3</xdr:row>
      <xdr:rowOff>130810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3116" y="237068"/>
          <a:ext cx="2245051" cy="715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122"/>
  <sheetViews>
    <sheetView showGridLines="0" tabSelected="1" topLeftCell="B4" zoomScale="90" zoomScaleNormal="90" workbookViewId="0">
      <selection activeCell="B9" sqref="B9"/>
    </sheetView>
  </sheetViews>
  <sheetFormatPr baseColWidth="10" defaultColWidth="11.42578125" defaultRowHeight="12.75" x14ac:dyDescent="0.25"/>
  <cols>
    <col min="1" max="1" width="11.42578125" style="3" hidden="1" customWidth="1"/>
    <col min="2" max="2" width="11.140625" style="3" customWidth="1"/>
    <col min="3" max="3" width="21.5703125" style="3" customWidth="1"/>
    <col min="4" max="4" width="30.85546875" style="3" customWidth="1"/>
    <col min="5" max="5" width="16.140625" style="3" bestFit="1" customWidth="1"/>
    <col min="6" max="6" width="14.85546875" style="3" customWidth="1"/>
    <col min="7" max="7" width="15.5703125" style="3" bestFit="1" customWidth="1"/>
    <col min="8" max="8" width="51.85546875" style="6" customWidth="1"/>
    <col min="9" max="9" width="39.85546875" style="285" customWidth="1"/>
    <col min="10" max="10" width="10.7109375" style="3" customWidth="1"/>
    <col min="11" max="11" width="14.28515625" style="3" customWidth="1"/>
    <col min="12" max="12" width="12" style="3" customWidth="1"/>
    <col min="13" max="19" width="12.28515625" style="3" customWidth="1"/>
    <col min="20" max="20" width="14.7109375" style="1" customWidth="1"/>
    <col min="21" max="21" width="19.7109375" style="1" customWidth="1"/>
    <col min="22" max="22" width="24.42578125" style="1" customWidth="1"/>
    <col min="23" max="23" width="11.5703125" style="1" customWidth="1"/>
    <col min="24" max="24" width="14.7109375" style="1" customWidth="1"/>
    <col min="25" max="25" width="13.42578125" style="1" customWidth="1"/>
    <col min="26" max="36" width="11.42578125" style="1"/>
    <col min="37" max="16384" width="11.42578125" style="3"/>
  </cols>
  <sheetData>
    <row r="2" spans="1:25" s="27" customFormat="1" ht="26.25" x14ac:dyDescent="0.25">
      <c r="A2" s="10" t="s">
        <v>17</v>
      </c>
      <c r="B2" s="10"/>
      <c r="C2" s="10"/>
      <c r="E2" s="370" t="s">
        <v>145</v>
      </c>
      <c r="F2" s="370"/>
      <c r="G2" s="370"/>
      <c r="H2" s="370"/>
      <c r="I2" s="279"/>
    </row>
    <row r="3" spans="1:25" s="27" customFormat="1" ht="19.5" x14ac:dyDescent="0.3">
      <c r="A3" s="43" t="s">
        <v>48</v>
      </c>
      <c r="B3" s="43"/>
      <c r="C3" s="43"/>
      <c r="E3" s="371" t="s">
        <v>146</v>
      </c>
      <c r="F3" s="371"/>
      <c r="G3" s="371"/>
      <c r="H3" s="371"/>
      <c r="I3" s="280"/>
      <c r="J3" s="43"/>
    </row>
    <row r="4" spans="1:25" s="27" customFormat="1" ht="19.5" x14ac:dyDescent="0.3">
      <c r="E4" s="371" t="s">
        <v>147</v>
      </c>
      <c r="F4" s="371"/>
      <c r="G4" s="371"/>
      <c r="H4" s="371"/>
      <c r="I4" s="280"/>
    </row>
    <row r="5" spans="1:25" s="27" customFormat="1" ht="30" customHeight="1" x14ac:dyDescent="0.3">
      <c r="B5" s="312" t="s">
        <v>296</v>
      </c>
      <c r="C5" s="313" t="s">
        <v>297</v>
      </c>
      <c r="D5" s="313" t="s">
        <v>298</v>
      </c>
      <c r="E5" s="371" t="s">
        <v>163</v>
      </c>
      <c r="F5" s="371"/>
      <c r="G5" s="371"/>
      <c r="H5" s="371"/>
      <c r="I5" s="280"/>
    </row>
    <row r="6" spans="1:25" s="27" customFormat="1" ht="12.75" customHeight="1" x14ac:dyDescent="0.3">
      <c r="B6" s="315">
        <v>1</v>
      </c>
      <c r="C6" s="316">
        <v>45789</v>
      </c>
      <c r="D6" s="316" t="s">
        <v>210</v>
      </c>
      <c r="E6" s="371" t="s">
        <v>273</v>
      </c>
      <c r="F6" s="371"/>
      <c r="G6" s="371"/>
      <c r="H6" s="371"/>
      <c r="I6" s="280"/>
    </row>
    <row r="7" spans="1:25" s="27" customFormat="1" ht="12" customHeight="1" x14ac:dyDescent="0.25">
      <c r="B7" s="315">
        <v>2</v>
      </c>
      <c r="C7" s="316">
        <v>45790</v>
      </c>
      <c r="D7" s="316" t="s">
        <v>299</v>
      </c>
      <c r="I7" s="278"/>
    </row>
    <row r="8" spans="1:25" s="27" customFormat="1" ht="12.75" customHeight="1" x14ac:dyDescent="0.25">
      <c r="B8" s="315">
        <v>3</v>
      </c>
      <c r="C8" s="316">
        <v>45821</v>
      </c>
      <c r="D8" s="316" t="s">
        <v>300</v>
      </c>
      <c r="E8" s="190"/>
      <c r="F8" s="190"/>
      <c r="G8" s="190"/>
      <c r="H8" s="190"/>
      <c r="I8" s="281"/>
      <c r="J8" s="190"/>
      <c r="K8" s="190"/>
      <c r="L8" s="190"/>
      <c r="M8" s="190"/>
      <c r="N8" s="190"/>
    </row>
    <row r="9" spans="1:25" s="27" customFormat="1" ht="15" x14ac:dyDescent="0.25">
      <c r="B9" s="310">
        <v>4</v>
      </c>
      <c r="C9" s="311">
        <v>45833</v>
      </c>
      <c r="D9" s="310" t="s">
        <v>302</v>
      </c>
      <c r="I9" s="278"/>
    </row>
    <row r="10" spans="1:25" s="1" customFormat="1" ht="17.45" customHeight="1" x14ac:dyDescent="0.25">
      <c r="C10" s="56" t="s">
        <v>13</v>
      </c>
      <c r="D10" s="53"/>
      <c r="E10" s="53"/>
      <c r="F10" s="53"/>
      <c r="G10" s="53"/>
      <c r="H10" s="53"/>
      <c r="I10" s="282"/>
      <c r="J10" s="53"/>
      <c r="K10" s="54"/>
      <c r="L10" s="53"/>
      <c r="M10" s="55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1" customFormat="1" ht="13.5" thickBot="1" x14ac:dyDescent="0.3">
      <c r="I11" s="283"/>
      <c r="M11" s="5"/>
    </row>
    <row r="12" spans="1:25" s="1" customFormat="1" ht="33.6" customHeight="1" thickBot="1" x14ac:dyDescent="0.25">
      <c r="C12" s="15"/>
      <c r="D12" s="15"/>
      <c r="E12" s="128" t="s">
        <v>8</v>
      </c>
      <c r="F12" s="129" t="s">
        <v>9</v>
      </c>
      <c r="H12" s="5"/>
      <c r="I12" s="283"/>
    </row>
    <row r="13" spans="1:25" s="1" customFormat="1" ht="48" customHeight="1" thickBot="1" x14ac:dyDescent="0.3">
      <c r="C13" s="144" t="s">
        <v>2</v>
      </c>
      <c r="D13" s="17" t="s">
        <v>133</v>
      </c>
      <c r="E13" s="213">
        <v>1.0900000000000001</v>
      </c>
      <c r="F13" s="213">
        <v>1.0900000000000001</v>
      </c>
      <c r="G13" s="143" t="s">
        <v>6</v>
      </c>
      <c r="H13" s="130" t="s">
        <v>183</v>
      </c>
      <c r="I13" s="283"/>
      <c r="N13" s="18"/>
    </row>
    <row r="14" spans="1:25" s="1" customFormat="1" ht="46.5" customHeight="1" thickBot="1" x14ac:dyDescent="0.3">
      <c r="A14" s="3"/>
      <c r="B14" s="3"/>
      <c r="C14" s="16" t="s">
        <v>7</v>
      </c>
      <c r="D14" s="17" t="s">
        <v>149</v>
      </c>
      <c r="E14" s="38">
        <v>4.1399999999999997</v>
      </c>
      <c r="F14" s="255">
        <v>5.51</v>
      </c>
      <c r="G14" s="123" t="s">
        <v>6</v>
      </c>
      <c r="H14" s="130" t="s">
        <v>169</v>
      </c>
      <c r="I14" s="283"/>
      <c r="N14" s="107"/>
    </row>
    <row r="15" spans="1:25" s="1" customFormat="1" ht="21.6" customHeight="1" thickBot="1" x14ac:dyDescent="0.3">
      <c r="A15" s="3"/>
      <c r="B15" s="3"/>
      <c r="C15" s="359" t="s">
        <v>3</v>
      </c>
      <c r="D15" s="20" t="s">
        <v>41</v>
      </c>
      <c r="E15" s="214">
        <v>2.2999999999999998</v>
      </c>
      <c r="F15" s="256">
        <f>E15*1.33</f>
        <v>3.0589999999999997</v>
      </c>
      <c r="G15" s="124" t="s">
        <v>5</v>
      </c>
      <c r="H15" s="325" t="s">
        <v>267</v>
      </c>
      <c r="I15" s="349"/>
      <c r="J15" s="350"/>
      <c r="K15" s="350"/>
      <c r="L15" s="350"/>
      <c r="M15" s="350"/>
      <c r="N15" s="350"/>
    </row>
    <row r="16" spans="1:25" s="1" customFormat="1" ht="21.6" customHeight="1" thickBot="1" x14ac:dyDescent="0.3">
      <c r="A16" s="3"/>
      <c r="B16" s="3"/>
      <c r="C16" s="360"/>
      <c r="D16" s="20" t="s">
        <v>42</v>
      </c>
      <c r="E16" s="214">
        <v>3.06</v>
      </c>
      <c r="F16" s="256">
        <f t="shared" ref="F16:F17" si="0">E16*1.33</f>
        <v>4.0697999999999999</v>
      </c>
      <c r="G16" s="345" t="s">
        <v>208</v>
      </c>
      <c r="H16" s="326"/>
      <c r="I16" s="284"/>
    </row>
    <row r="17" spans="1:14" s="1" customFormat="1" ht="21.6" customHeight="1" thickBot="1" x14ac:dyDescent="0.3">
      <c r="A17" s="3"/>
      <c r="B17" s="3"/>
      <c r="C17" s="361"/>
      <c r="D17" s="20" t="s">
        <v>43</v>
      </c>
      <c r="E17" s="214">
        <v>2.58</v>
      </c>
      <c r="F17" s="256">
        <f t="shared" si="0"/>
        <v>3.4314000000000004</v>
      </c>
      <c r="G17" s="346"/>
      <c r="H17" s="327"/>
      <c r="I17" s="284"/>
    </row>
    <row r="18" spans="1:14" s="1" customFormat="1" ht="48.6" customHeight="1" thickBot="1" x14ac:dyDescent="0.3">
      <c r="A18" s="3"/>
      <c r="B18" s="3"/>
      <c r="C18" s="19" t="s">
        <v>4</v>
      </c>
      <c r="D18" s="20" t="s">
        <v>44</v>
      </c>
      <c r="E18" s="39">
        <v>4.5599999999999996</v>
      </c>
      <c r="F18" s="257">
        <v>5.75</v>
      </c>
      <c r="G18" s="124" t="s">
        <v>6</v>
      </c>
      <c r="H18" s="131" t="s">
        <v>124</v>
      </c>
      <c r="I18" s="284"/>
    </row>
    <row r="19" spans="1:14" s="1" customFormat="1" ht="30.6" customHeight="1" thickBot="1" x14ac:dyDescent="0.3">
      <c r="A19" s="3"/>
      <c r="B19" s="3"/>
      <c r="C19" s="359" t="s">
        <v>158</v>
      </c>
      <c r="D19" s="17" t="s">
        <v>45</v>
      </c>
      <c r="E19" s="22">
        <v>1.58</v>
      </c>
      <c r="F19" s="258">
        <v>1.58</v>
      </c>
      <c r="G19" s="342" t="s">
        <v>152</v>
      </c>
      <c r="H19" s="372" t="s">
        <v>268</v>
      </c>
      <c r="I19" s="284"/>
    </row>
    <row r="20" spans="1:14" s="1" customFormat="1" ht="30.6" customHeight="1" thickBot="1" x14ac:dyDescent="0.3">
      <c r="A20" s="3"/>
      <c r="B20" s="3"/>
      <c r="C20" s="360"/>
      <c r="D20" s="17" t="s">
        <v>47</v>
      </c>
      <c r="E20" s="22">
        <v>4.75</v>
      </c>
      <c r="F20" s="258">
        <v>4.75</v>
      </c>
      <c r="G20" s="343"/>
      <c r="H20" s="373"/>
      <c r="I20" s="284"/>
    </row>
    <row r="21" spans="1:14" s="1" customFormat="1" ht="30.6" customHeight="1" thickBot="1" x14ac:dyDescent="0.3">
      <c r="A21" s="3"/>
      <c r="B21" s="3"/>
      <c r="C21" s="360"/>
      <c r="D21" s="20" t="s">
        <v>215</v>
      </c>
      <c r="E21" s="217">
        <v>2.2200000000000002</v>
      </c>
      <c r="F21" s="257">
        <v>2.95</v>
      </c>
      <c r="G21" s="343"/>
      <c r="H21" s="373"/>
      <c r="I21" s="351"/>
      <c r="J21" s="352"/>
      <c r="K21" s="352"/>
      <c r="L21" s="352"/>
      <c r="M21" s="352"/>
      <c r="N21" s="352"/>
    </row>
    <row r="22" spans="1:14" s="1" customFormat="1" ht="30.6" customHeight="1" thickBot="1" x14ac:dyDescent="0.3">
      <c r="A22" s="3"/>
      <c r="B22" s="3"/>
      <c r="C22" s="361"/>
      <c r="D22" s="20" t="s">
        <v>216</v>
      </c>
      <c r="E22" s="217">
        <v>4.83</v>
      </c>
      <c r="F22" s="257">
        <v>6.44</v>
      </c>
      <c r="G22" s="344"/>
      <c r="H22" s="374"/>
      <c r="I22" s="284"/>
    </row>
    <row r="23" spans="1:14" s="1" customFormat="1" ht="51.75" thickBot="1" x14ac:dyDescent="0.3">
      <c r="A23" s="3"/>
      <c r="B23" s="3"/>
      <c r="C23" s="24" t="s">
        <v>150</v>
      </c>
      <c r="D23" s="20" t="s">
        <v>155</v>
      </c>
      <c r="E23" s="39">
        <v>4.3</v>
      </c>
      <c r="F23" s="39">
        <v>5.71</v>
      </c>
      <c r="G23" s="124" t="s">
        <v>6</v>
      </c>
      <c r="H23" s="131"/>
      <c r="I23" s="284"/>
    </row>
    <row r="24" spans="1:14" s="1" customFormat="1" ht="55.5" customHeight="1" x14ac:dyDescent="0.25">
      <c r="A24" s="3"/>
      <c r="B24" s="3"/>
      <c r="C24" s="375"/>
      <c r="D24" s="375"/>
      <c r="E24" s="375"/>
      <c r="F24" s="375"/>
      <c r="G24" s="18"/>
      <c r="H24" s="5"/>
      <c r="I24" s="284"/>
    </row>
    <row r="25" spans="1:14" s="1" customFormat="1" x14ac:dyDescent="0.25">
      <c r="A25" s="3"/>
      <c r="B25" s="3"/>
      <c r="C25" s="14"/>
      <c r="D25" s="14"/>
      <c r="E25" s="194"/>
      <c r="F25" s="14"/>
      <c r="H25" s="5"/>
      <c r="I25" s="283"/>
    </row>
    <row r="26" spans="1:14" s="1" customFormat="1" x14ac:dyDescent="0.25">
      <c r="A26" s="3"/>
      <c r="B26" s="3"/>
      <c r="C26" s="14"/>
      <c r="D26" s="14"/>
      <c r="E26" s="14"/>
      <c r="F26" s="14"/>
      <c r="H26" s="5"/>
      <c r="I26" s="283"/>
    </row>
    <row r="27" spans="1:14" s="1" customFormat="1" x14ac:dyDescent="0.25">
      <c r="A27" s="3"/>
      <c r="B27" s="3"/>
      <c r="C27" s="14"/>
      <c r="D27" s="14"/>
      <c r="E27" s="14"/>
      <c r="F27" s="14"/>
      <c r="H27" s="5"/>
      <c r="I27" s="283"/>
    </row>
    <row r="28" spans="1:14" s="1" customFormat="1" ht="18.75" x14ac:dyDescent="0.25">
      <c r="A28" s="3"/>
      <c r="B28" s="3"/>
      <c r="C28" s="56" t="s">
        <v>79</v>
      </c>
      <c r="D28" s="57"/>
      <c r="E28" s="57"/>
      <c r="F28" s="57"/>
      <c r="G28" s="58"/>
      <c r="H28" s="59"/>
      <c r="I28" s="283"/>
    </row>
    <row r="29" spans="1:14" s="1" customFormat="1" ht="16.5" thickBot="1" x14ac:dyDescent="0.3">
      <c r="A29" s="3"/>
      <c r="B29" s="3"/>
      <c r="C29" s="2"/>
      <c r="D29" s="14"/>
      <c r="E29" s="14"/>
      <c r="F29" s="14"/>
      <c r="H29" s="5"/>
      <c r="I29" s="283"/>
    </row>
    <row r="30" spans="1:14" s="1" customFormat="1" ht="26.25" thickBot="1" x14ac:dyDescent="0.3">
      <c r="A30" s="3"/>
      <c r="B30" s="3"/>
      <c r="C30" s="2"/>
      <c r="D30" s="14"/>
      <c r="E30" s="128" t="s">
        <v>10</v>
      </c>
      <c r="F30" s="14"/>
      <c r="H30" s="5"/>
      <c r="I30" s="283"/>
    </row>
    <row r="31" spans="1:14" s="1" customFormat="1" ht="26.25" thickBot="1" x14ac:dyDescent="0.3">
      <c r="A31" s="3"/>
      <c r="B31" s="3"/>
      <c r="C31" s="16" t="s">
        <v>7</v>
      </c>
      <c r="D31" s="25" t="s">
        <v>149</v>
      </c>
      <c r="E31" s="26">
        <v>6.64</v>
      </c>
      <c r="F31" s="126" t="s">
        <v>6</v>
      </c>
      <c r="G31" s="334" t="s">
        <v>153</v>
      </c>
      <c r="H31" s="335"/>
      <c r="I31" s="283"/>
    </row>
    <row r="32" spans="1:14" s="1" customFormat="1" ht="21.6" customHeight="1" thickBot="1" x14ac:dyDescent="0.3">
      <c r="A32" s="3"/>
      <c r="B32" s="3"/>
      <c r="C32" s="359" t="s">
        <v>3</v>
      </c>
      <c r="D32" s="20" t="s">
        <v>81</v>
      </c>
      <c r="E32" s="215">
        <v>2.78</v>
      </c>
      <c r="F32" s="125" t="s">
        <v>5</v>
      </c>
      <c r="G32" s="328" t="s">
        <v>207</v>
      </c>
      <c r="H32" s="329"/>
      <c r="I32" s="283"/>
    </row>
    <row r="33" spans="1:9" s="1" customFormat="1" ht="21.6" customHeight="1" thickBot="1" x14ac:dyDescent="0.3">
      <c r="A33" s="3"/>
      <c r="B33" s="3"/>
      <c r="C33" s="360"/>
      <c r="D33" s="20" t="s">
        <v>80</v>
      </c>
      <c r="E33" s="215">
        <v>4.1399999999999997</v>
      </c>
      <c r="F33" s="342" t="s">
        <v>208</v>
      </c>
      <c r="G33" s="330"/>
      <c r="H33" s="331"/>
      <c r="I33" s="283"/>
    </row>
    <row r="34" spans="1:9" s="1" customFormat="1" ht="21.6" customHeight="1" thickBot="1" x14ac:dyDescent="0.3">
      <c r="A34" s="3"/>
      <c r="B34" s="3"/>
      <c r="C34" s="360"/>
      <c r="D34" s="20" t="s">
        <v>82</v>
      </c>
      <c r="E34" s="215">
        <v>3.35</v>
      </c>
      <c r="F34" s="343"/>
      <c r="G34" s="330"/>
      <c r="H34" s="331"/>
      <c r="I34" s="283"/>
    </row>
    <row r="35" spans="1:9" s="1" customFormat="1" ht="21.6" customHeight="1" thickBot="1" x14ac:dyDescent="0.3">
      <c r="A35" s="3"/>
      <c r="B35" s="3"/>
      <c r="C35" s="360"/>
      <c r="D35" s="20" t="s">
        <v>226</v>
      </c>
      <c r="E35" s="215">
        <v>2.2999999999999998</v>
      </c>
      <c r="F35" s="343"/>
      <c r="G35" s="330"/>
      <c r="H35" s="331"/>
      <c r="I35" s="283"/>
    </row>
    <row r="36" spans="1:9" s="1" customFormat="1" ht="21.6" customHeight="1" thickBot="1" x14ac:dyDescent="0.3">
      <c r="A36" s="3"/>
      <c r="B36" s="3"/>
      <c r="C36" s="360"/>
      <c r="D36" s="20" t="s">
        <v>227</v>
      </c>
      <c r="E36" s="215">
        <v>3.06</v>
      </c>
      <c r="F36" s="343"/>
      <c r="G36" s="330"/>
      <c r="H36" s="331"/>
      <c r="I36" s="283"/>
    </row>
    <row r="37" spans="1:9" s="1" customFormat="1" ht="21.6" customHeight="1" thickBot="1" x14ac:dyDescent="0.3">
      <c r="A37" s="3"/>
      <c r="B37" s="3"/>
      <c r="C37" s="361"/>
      <c r="D37" s="20" t="s">
        <v>228</v>
      </c>
      <c r="E37" s="215">
        <v>2.58</v>
      </c>
      <c r="F37" s="344"/>
      <c r="G37" s="332"/>
      <c r="H37" s="333"/>
      <c r="I37" s="283"/>
    </row>
    <row r="38" spans="1:9" s="1" customFormat="1" ht="38.1" customHeight="1" thickBot="1" x14ac:dyDescent="0.3">
      <c r="A38" s="3"/>
      <c r="B38" s="3"/>
      <c r="C38" s="19" t="s">
        <v>4</v>
      </c>
      <c r="D38" s="20" t="s">
        <v>44</v>
      </c>
      <c r="E38" s="21">
        <v>4.8499999999999996</v>
      </c>
      <c r="F38" s="126" t="s">
        <v>6</v>
      </c>
      <c r="G38" s="357" t="s">
        <v>124</v>
      </c>
      <c r="H38" s="358"/>
      <c r="I38" s="283"/>
    </row>
    <row r="39" spans="1:9" s="1" customFormat="1" ht="39.6" customHeight="1" thickBot="1" x14ac:dyDescent="0.3">
      <c r="A39" s="3"/>
      <c r="B39" s="3"/>
      <c r="C39" s="16" t="s">
        <v>11</v>
      </c>
      <c r="D39" s="20" t="s">
        <v>12</v>
      </c>
      <c r="E39" s="21">
        <v>7.01</v>
      </c>
      <c r="F39" s="342" t="s">
        <v>178</v>
      </c>
      <c r="G39" s="353" t="s">
        <v>177</v>
      </c>
      <c r="H39" s="354"/>
      <c r="I39" s="283"/>
    </row>
    <row r="40" spans="1:9" s="1" customFormat="1" ht="30.95" customHeight="1" thickBot="1" x14ac:dyDescent="0.3">
      <c r="A40" s="3"/>
      <c r="B40" s="3"/>
      <c r="C40" s="16" t="s">
        <v>157</v>
      </c>
      <c r="D40" s="17" t="s">
        <v>189</v>
      </c>
      <c r="E40" s="176">
        <v>24.32</v>
      </c>
      <c r="F40" s="344"/>
      <c r="G40" s="355"/>
      <c r="H40" s="356"/>
      <c r="I40" s="283"/>
    </row>
    <row r="41" spans="1:9" s="1" customFormat="1" ht="51.75" thickBot="1" x14ac:dyDescent="0.3">
      <c r="A41" s="3"/>
      <c r="B41" s="3"/>
      <c r="C41" s="16" t="s">
        <v>150</v>
      </c>
      <c r="D41" s="20" t="s">
        <v>155</v>
      </c>
      <c r="E41" s="21">
        <v>4.51</v>
      </c>
      <c r="F41" s="125" t="s">
        <v>6</v>
      </c>
      <c r="G41" s="347"/>
      <c r="H41" s="348"/>
      <c r="I41" s="283"/>
    </row>
    <row r="42" spans="1:9" s="1" customFormat="1" x14ac:dyDescent="0.25">
      <c r="A42" s="3"/>
      <c r="B42" s="3"/>
      <c r="C42" s="60"/>
      <c r="D42" s="61"/>
      <c r="E42" s="193"/>
      <c r="F42" s="61"/>
      <c r="H42" s="5"/>
      <c r="I42" s="283"/>
    </row>
    <row r="43" spans="1:9" s="1" customFormat="1" x14ac:dyDescent="0.25">
      <c r="A43" s="3"/>
      <c r="B43" s="3"/>
      <c r="C43" s="14"/>
      <c r="D43" s="14"/>
      <c r="E43" s="14"/>
      <c r="F43" s="14"/>
      <c r="H43" s="5"/>
      <c r="I43" s="283"/>
    </row>
    <row r="44" spans="1:9" s="1" customFormat="1" x14ac:dyDescent="0.25">
      <c r="A44" s="3"/>
      <c r="B44" s="3"/>
      <c r="C44" s="14"/>
      <c r="D44" s="14"/>
      <c r="E44" s="14"/>
      <c r="H44" s="5"/>
      <c r="I44" s="283"/>
    </row>
    <row r="45" spans="1:9" s="1" customFormat="1" x14ac:dyDescent="0.25">
      <c r="A45" s="3"/>
      <c r="B45" s="3"/>
      <c r="C45" s="14"/>
      <c r="D45" s="14"/>
      <c r="E45" s="14"/>
      <c r="F45" s="14"/>
      <c r="H45" s="6"/>
      <c r="I45" s="283"/>
    </row>
    <row r="47" spans="1:9" ht="18.75" x14ac:dyDescent="0.25">
      <c r="C47" s="56" t="s">
        <v>95</v>
      </c>
      <c r="D47" s="53"/>
      <c r="E47" s="53"/>
      <c r="F47" s="54"/>
      <c r="G47" s="53"/>
      <c r="H47" s="59"/>
    </row>
    <row r="48" spans="1:9" x14ac:dyDescent="0.25">
      <c r="C48" s="14" t="s">
        <v>190</v>
      </c>
      <c r="D48" s="9"/>
      <c r="E48" s="9"/>
      <c r="F48" s="4"/>
      <c r="G48" s="9"/>
      <c r="H48" s="5"/>
    </row>
    <row r="49" spans="3:9" x14ac:dyDescent="0.25">
      <c r="C49" s="14"/>
      <c r="D49" s="9"/>
      <c r="E49" s="9"/>
      <c r="F49" s="4"/>
      <c r="G49" s="9"/>
      <c r="H49" s="5"/>
    </row>
    <row r="50" spans="3:9" ht="13.5" thickBot="1" x14ac:dyDescent="0.3">
      <c r="C50" s="1"/>
      <c r="D50" s="9"/>
      <c r="E50" s="9"/>
      <c r="F50" s="4"/>
      <c r="G50" s="9"/>
      <c r="H50" s="5"/>
    </row>
    <row r="51" spans="3:9" ht="26.25" thickBot="1" x14ac:dyDescent="0.3">
      <c r="C51" s="79"/>
      <c r="D51" s="79"/>
      <c r="E51" s="132" t="s">
        <v>102</v>
      </c>
      <c r="F51" s="86"/>
      <c r="G51" s="79"/>
      <c r="H51" s="80"/>
    </row>
    <row r="52" spans="3:9" ht="26.25" thickBot="1" x14ac:dyDescent="0.3">
      <c r="C52" s="81" t="s">
        <v>7</v>
      </c>
      <c r="D52" s="25" t="s">
        <v>149</v>
      </c>
      <c r="E52" s="254">
        <v>82.8</v>
      </c>
      <c r="F52" s="127" t="s">
        <v>6</v>
      </c>
      <c r="G52" s="334" t="s">
        <v>154</v>
      </c>
      <c r="H52" s="335"/>
      <c r="I52" s="286"/>
    </row>
    <row r="53" spans="3:9" ht="22.5" customHeight="1" thickBot="1" x14ac:dyDescent="0.3">
      <c r="C53" s="317" t="s">
        <v>3</v>
      </c>
      <c r="D53" s="20" t="s">
        <v>41</v>
      </c>
      <c r="E53" s="216">
        <f>E15*20</f>
        <v>46</v>
      </c>
      <c r="F53" s="124" t="s">
        <v>5</v>
      </c>
      <c r="G53" s="336" t="s">
        <v>250</v>
      </c>
      <c r="H53" s="337"/>
      <c r="I53" s="297"/>
    </row>
    <row r="54" spans="3:9" ht="22.5" customHeight="1" thickBot="1" x14ac:dyDescent="0.3">
      <c r="C54" s="318"/>
      <c r="D54" s="20" t="s">
        <v>86</v>
      </c>
      <c r="E54" s="216">
        <f>E16*20</f>
        <v>61.2</v>
      </c>
      <c r="F54" s="345" t="s">
        <v>208</v>
      </c>
      <c r="G54" s="338"/>
      <c r="H54" s="339"/>
    </row>
    <row r="55" spans="3:9" ht="22.5" customHeight="1" thickBot="1" x14ac:dyDescent="0.3">
      <c r="C55" s="319"/>
      <c r="D55" s="20" t="s">
        <v>43</v>
      </c>
      <c r="E55" s="216">
        <f>E17*20</f>
        <v>51.6</v>
      </c>
      <c r="F55" s="346"/>
      <c r="G55" s="340"/>
      <c r="H55" s="341"/>
    </row>
    <row r="56" spans="3:9" ht="30.6" customHeight="1" thickBot="1" x14ac:dyDescent="0.3">
      <c r="C56" s="83" t="s">
        <v>4</v>
      </c>
      <c r="D56" s="20" t="s">
        <v>44</v>
      </c>
      <c r="E56" s="84">
        <f>4.56*20</f>
        <v>91.199999999999989</v>
      </c>
      <c r="F56" s="124" t="s">
        <v>6</v>
      </c>
      <c r="G56" s="334" t="s">
        <v>124</v>
      </c>
      <c r="H56" s="335"/>
    </row>
    <row r="57" spans="3:9" ht="34.5" customHeight="1" thickBot="1" x14ac:dyDescent="0.3">
      <c r="C57" s="81" t="s">
        <v>11</v>
      </c>
      <c r="D57" s="20" t="s">
        <v>14</v>
      </c>
      <c r="E57" s="84">
        <f>3.52*20</f>
        <v>70.400000000000006</v>
      </c>
      <c r="F57" s="124" t="s">
        <v>6</v>
      </c>
      <c r="G57" s="334" t="s">
        <v>191</v>
      </c>
      <c r="H57" s="335"/>
    </row>
    <row r="58" spans="3:9" ht="51" customHeight="1" thickBot="1" x14ac:dyDescent="0.3">
      <c r="C58" s="81" t="s">
        <v>151</v>
      </c>
      <c r="D58" s="20" t="s">
        <v>155</v>
      </c>
      <c r="E58" s="84">
        <v>86</v>
      </c>
      <c r="F58" s="124" t="s">
        <v>6</v>
      </c>
      <c r="G58" s="347"/>
      <c r="H58" s="348"/>
      <c r="I58" s="286"/>
    </row>
    <row r="59" spans="3:9" x14ac:dyDescent="0.25">
      <c r="E59" s="87"/>
    </row>
    <row r="62" spans="3:9" ht="18.75" x14ac:dyDescent="0.25">
      <c r="C62" s="56" t="s">
        <v>99</v>
      </c>
      <c r="D62" s="53"/>
      <c r="E62" s="53"/>
      <c r="F62" s="54"/>
      <c r="G62" s="53"/>
      <c r="H62" s="59"/>
    </row>
    <row r="63" spans="3:9" x14ac:dyDescent="0.25">
      <c r="C63" s="3" t="s">
        <v>156</v>
      </c>
      <c r="D63" s="9"/>
      <c r="E63" s="9"/>
      <c r="F63" s="4"/>
      <c r="G63" s="9"/>
      <c r="H63" s="5"/>
    </row>
    <row r="64" spans="3:9" x14ac:dyDescent="0.25">
      <c r="C64" s="14"/>
      <c r="D64" s="9"/>
      <c r="E64" s="9"/>
      <c r="F64" s="4"/>
      <c r="G64" s="9"/>
      <c r="H64" s="5"/>
    </row>
    <row r="65" spans="3:36" ht="13.5" thickBot="1" x14ac:dyDescent="0.3">
      <c r="C65" s="79"/>
      <c r="D65" s="9"/>
      <c r="E65" s="9"/>
      <c r="F65" s="4"/>
      <c r="G65" s="9"/>
      <c r="H65" s="5"/>
    </row>
    <row r="66" spans="3:36" ht="39" thickBot="1" x14ac:dyDescent="0.3">
      <c r="C66" s="79"/>
      <c r="D66" s="79"/>
      <c r="E66" s="109" t="s">
        <v>107</v>
      </c>
      <c r="F66" s="109" t="s">
        <v>108</v>
      </c>
      <c r="G66" s="79"/>
      <c r="H66" s="80"/>
    </row>
    <row r="67" spans="3:36" ht="39" thickBot="1" x14ac:dyDescent="0.3">
      <c r="C67" s="81" t="s">
        <v>2</v>
      </c>
      <c r="D67" s="17" t="s">
        <v>170</v>
      </c>
      <c r="E67" s="82">
        <v>1.0900000000000001</v>
      </c>
      <c r="F67" s="82">
        <v>1.0900000000000001</v>
      </c>
      <c r="G67" s="123" t="s">
        <v>6</v>
      </c>
      <c r="H67" s="130" t="s">
        <v>183</v>
      </c>
    </row>
    <row r="68" spans="3:36" ht="26.25" thickBot="1" x14ac:dyDescent="0.3">
      <c r="C68" s="83" t="s">
        <v>180</v>
      </c>
      <c r="D68" s="20" t="s">
        <v>118</v>
      </c>
      <c r="E68" s="156"/>
      <c r="F68" s="84">
        <v>4.58</v>
      </c>
      <c r="G68" s="124" t="s">
        <v>174</v>
      </c>
      <c r="H68" s="166" t="s">
        <v>181</v>
      </c>
      <c r="J68" s="78"/>
      <c r="K68" s="85"/>
      <c r="L68" s="27"/>
      <c r="M68" s="27"/>
      <c r="N68" s="27"/>
    </row>
    <row r="69" spans="3:36" ht="26.1" customHeight="1" thickBot="1" x14ac:dyDescent="0.3">
      <c r="C69" s="317" t="s">
        <v>3</v>
      </c>
      <c r="D69" s="20" t="s">
        <v>41</v>
      </c>
      <c r="E69" s="216">
        <f>2.3/3</f>
        <v>0.76666666666666661</v>
      </c>
      <c r="F69" s="157"/>
      <c r="G69" s="124" t="s">
        <v>5</v>
      </c>
      <c r="H69" s="325" t="s">
        <v>263</v>
      </c>
      <c r="J69" s="78"/>
      <c r="K69" s="85"/>
      <c r="L69" s="27"/>
      <c r="M69" s="27"/>
      <c r="N69" s="27"/>
      <c r="S69" s="1"/>
      <c r="AJ69" s="3"/>
    </row>
    <row r="70" spans="3:36" ht="15" customHeight="1" thickBot="1" x14ac:dyDescent="0.3">
      <c r="C70" s="318"/>
      <c r="D70" s="20" t="s">
        <v>86</v>
      </c>
      <c r="E70" s="216">
        <f>3.06/3</f>
        <v>1.02</v>
      </c>
      <c r="F70" s="157"/>
      <c r="G70" s="345" t="s">
        <v>208</v>
      </c>
      <c r="H70" s="326"/>
      <c r="J70" s="88"/>
      <c r="K70" s="89"/>
      <c r="L70" s="27"/>
      <c r="M70" s="27"/>
      <c r="N70" s="27"/>
      <c r="S70" s="1"/>
      <c r="AJ70" s="3"/>
    </row>
    <row r="71" spans="3:36" ht="18" customHeight="1" thickBot="1" x14ac:dyDescent="0.3">
      <c r="C71" s="318"/>
      <c r="D71" s="20" t="s">
        <v>43</v>
      </c>
      <c r="E71" s="216">
        <f>2.58/3</f>
        <v>0.86</v>
      </c>
      <c r="F71" s="157"/>
      <c r="G71" s="346"/>
      <c r="H71" s="327"/>
      <c r="J71" s="27"/>
      <c r="K71" s="27"/>
      <c r="L71" s="27"/>
      <c r="M71" s="27"/>
      <c r="N71" s="27"/>
      <c r="S71" s="1"/>
      <c r="AJ71" s="3"/>
    </row>
    <row r="72" spans="3:36" ht="18" customHeight="1" thickBot="1" x14ac:dyDescent="0.3">
      <c r="C72" s="319"/>
      <c r="D72" s="20" t="s">
        <v>105</v>
      </c>
      <c r="E72" s="157"/>
      <c r="F72" s="216">
        <v>5.12</v>
      </c>
      <c r="G72" s="124" t="s">
        <v>106</v>
      </c>
      <c r="H72" s="165" t="s">
        <v>179</v>
      </c>
      <c r="J72" s="27"/>
      <c r="K72" s="27"/>
      <c r="L72" s="27"/>
      <c r="M72" s="27"/>
      <c r="N72" s="27"/>
      <c r="S72" s="1"/>
      <c r="AJ72" s="3"/>
    </row>
    <row r="73" spans="3:36" ht="70.5" customHeight="1" thickBot="1" x14ac:dyDescent="0.3">
      <c r="C73" s="83" t="s">
        <v>4</v>
      </c>
      <c r="D73" s="20" t="s">
        <v>44</v>
      </c>
      <c r="E73" s="84">
        <v>1.7</v>
      </c>
      <c r="F73" s="156"/>
      <c r="G73" s="124" t="s">
        <v>6</v>
      </c>
      <c r="H73" s="130" t="s">
        <v>125</v>
      </c>
      <c r="I73" s="287"/>
      <c r="J73" s="78"/>
      <c r="K73" s="27"/>
      <c r="L73" s="27"/>
      <c r="M73" s="27"/>
      <c r="N73" s="27"/>
      <c r="S73" s="1"/>
      <c r="AJ73" s="3"/>
    </row>
    <row r="74" spans="3:36" ht="57.95" customHeight="1" thickBot="1" x14ac:dyDescent="0.3">
      <c r="C74" s="81" t="s">
        <v>11</v>
      </c>
      <c r="D74" s="20" t="s">
        <v>104</v>
      </c>
      <c r="E74" s="84">
        <f>3.52/3</f>
        <v>1.1733333333333333</v>
      </c>
      <c r="F74" s="156"/>
      <c r="G74" s="342" t="s">
        <v>178</v>
      </c>
      <c r="H74" s="130" t="s">
        <v>171</v>
      </c>
      <c r="J74" s="78"/>
      <c r="K74" s="27"/>
      <c r="L74" s="27"/>
      <c r="M74" s="27"/>
      <c r="N74" s="27"/>
      <c r="S74" s="1"/>
      <c r="AJ74" s="3"/>
    </row>
    <row r="75" spans="3:36" ht="20.45" customHeight="1" thickBot="1" x14ac:dyDescent="0.3">
      <c r="C75" s="317" t="s">
        <v>158</v>
      </c>
      <c r="D75" s="17" t="s">
        <v>45</v>
      </c>
      <c r="E75" s="22">
        <v>1.58</v>
      </c>
      <c r="F75" s="22">
        <v>1.58</v>
      </c>
      <c r="G75" s="343"/>
      <c r="H75" s="325" t="s">
        <v>168</v>
      </c>
      <c r="I75" s="288"/>
      <c r="J75" s="78"/>
      <c r="K75" s="27"/>
      <c r="L75" s="27"/>
      <c r="M75" s="27"/>
      <c r="N75" s="27"/>
      <c r="S75" s="1"/>
      <c r="AJ75" s="3"/>
    </row>
    <row r="76" spans="3:36" ht="20.45" customHeight="1" thickBot="1" x14ac:dyDescent="0.3">
      <c r="C76" s="318"/>
      <c r="D76" s="17" t="s">
        <v>46</v>
      </c>
      <c r="E76" s="22">
        <v>9.1</v>
      </c>
      <c r="F76" s="23">
        <v>9.1</v>
      </c>
      <c r="G76" s="343"/>
      <c r="H76" s="326"/>
      <c r="J76" s="27"/>
      <c r="K76" s="78"/>
      <c r="L76" s="27"/>
      <c r="M76" s="27"/>
      <c r="N76" s="78"/>
      <c r="S76" s="1"/>
      <c r="AJ76" s="3"/>
    </row>
    <row r="77" spans="3:36" ht="27.6" customHeight="1" thickBot="1" x14ac:dyDescent="0.3">
      <c r="C77" s="319"/>
      <c r="D77" s="17" t="s">
        <v>47</v>
      </c>
      <c r="E77" s="22">
        <v>4.75</v>
      </c>
      <c r="F77" s="22">
        <v>4.75</v>
      </c>
      <c r="G77" s="344"/>
      <c r="H77" s="327"/>
      <c r="I77" s="289"/>
      <c r="J77" s="27"/>
      <c r="K77" s="78"/>
      <c r="L77" s="27"/>
      <c r="M77" s="27"/>
      <c r="N77" s="27"/>
      <c r="S77" s="1"/>
      <c r="AJ77" s="3"/>
    </row>
    <row r="78" spans="3:36" ht="24.95" customHeight="1" x14ac:dyDescent="0.25">
      <c r="E78" s="87"/>
      <c r="F78" s="87"/>
      <c r="H78" s="3"/>
      <c r="I78" s="289"/>
      <c r="J78" s="27"/>
      <c r="K78" s="78"/>
      <c r="L78" s="27"/>
      <c r="M78" s="27"/>
      <c r="N78" s="27"/>
    </row>
    <row r="79" spans="3:36" ht="24.95" customHeight="1" x14ac:dyDescent="0.25">
      <c r="J79" s="27"/>
      <c r="K79" s="78"/>
      <c r="L79" s="27"/>
      <c r="M79" s="27"/>
      <c r="N79" s="27"/>
    </row>
    <row r="80" spans="3:36" ht="18.75" x14ac:dyDescent="0.25">
      <c r="C80" s="56" t="s">
        <v>122</v>
      </c>
      <c r="D80" s="53"/>
      <c r="E80" s="53"/>
      <c r="F80" s="54"/>
      <c r="G80" s="53"/>
      <c r="H80" s="59"/>
      <c r="J80" s="27"/>
      <c r="K80" s="78"/>
      <c r="L80" s="27"/>
      <c r="M80" s="27"/>
      <c r="N80" s="27"/>
    </row>
    <row r="81" spans="3:14" ht="15.75" thickBot="1" x14ac:dyDescent="0.3">
      <c r="J81" s="27"/>
      <c r="K81" s="78"/>
      <c r="L81" s="27"/>
      <c r="M81" s="27"/>
      <c r="N81" s="27"/>
    </row>
    <row r="82" spans="3:14" ht="26.25" thickBot="1" x14ac:dyDescent="0.3">
      <c r="C82" s="79"/>
      <c r="D82" s="79"/>
      <c r="E82" s="132" t="s">
        <v>123</v>
      </c>
      <c r="F82" s="86"/>
      <c r="G82" s="79"/>
      <c r="H82" s="80"/>
    </row>
    <row r="83" spans="3:14" ht="26.25" thickBot="1" x14ac:dyDescent="0.3">
      <c r="C83" s="81" t="s">
        <v>283</v>
      </c>
      <c r="D83" s="25" t="s">
        <v>284</v>
      </c>
      <c r="E83" s="82">
        <v>0.55000000000000004</v>
      </c>
      <c r="F83" s="127" t="s">
        <v>6</v>
      </c>
      <c r="G83" s="323" t="s">
        <v>186</v>
      </c>
      <c r="H83" s="324"/>
      <c r="I83" s="286"/>
      <c r="J83" s="27"/>
      <c r="K83" s="78"/>
      <c r="L83" s="27"/>
      <c r="M83" s="27"/>
      <c r="N83" s="27"/>
    </row>
    <row r="84" spans="3:14" ht="24.95" customHeight="1" x14ac:dyDescent="0.25">
      <c r="G84" s="107"/>
      <c r="H84" s="108"/>
      <c r="I84" s="297"/>
      <c r="J84" s="27"/>
      <c r="K84" s="78"/>
      <c r="L84" s="27"/>
      <c r="M84" s="27"/>
      <c r="N84" s="27"/>
    </row>
    <row r="85" spans="3:14" ht="24.95" customHeight="1" x14ac:dyDescent="0.25">
      <c r="G85" s="107"/>
      <c r="H85" s="108"/>
      <c r="J85" s="27"/>
      <c r="K85" s="78"/>
      <c r="L85" s="27"/>
      <c r="M85" s="27"/>
      <c r="N85" s="27"/>
    </row>
    <row r="86" spans="3:14" ht="18.75" x14ac:dyDescent="0.25">
      <c r="C86" s="56" t="s">
        <v>144</v>
      </c>
      <c r="D86" s="53"/>
      <c r="E86" s="53"/>
      <c r="F86" s="54"/>
      <c r="G86" s="53"/>
      <c r="H86" s="59"/>
      <c r="I86" s="290"/>
    </row>
    <row r="87" spans="3:14" x14ac:dyDescent="0.25">
      <c r="C87" s="3" t="s">
        <v>285</v>
      </c>
    </row>
    <row r="88" spans="3:14" ht="15" x14ac:dyDescent="0.25">
      <c r="J88" s="27"/>
      <c r="K88" s="78"/>
      <c r="L88" s="27"/>
      <c r="M88" s="27"/>
      <c r="N88" s="27"/>
    </row>
    <row r="89" spans="3:14" ht="35.450000000000003" customHeight="1" thickBot="1" x14ac:dyDescent="0.3">
      <c r="J89" s="27"/>
      <c r="K89" s="78"/>
      <c r="L89" s="27"/>
      <c r="M89" s="27"/>
      <c r="N89" s="27"/>
    </row>
    <row r="90" spans="3:14" ht="35.450000000000003" customHeight="1" thickBot="1" x14ac:dyDescent="0.3">
      <c r="C90" s="79"/>
      <c r="D90" s="79"/>
      <c r="E90" s="132" t="s">
        <v>251</v>
      </c>
      <c r="F90" s="202"/>
      <c r="G90" s="79"/>
      <c r="H90" s="80"/>
      <c r="J90" s="27"/>
      <c r="K90" s="78"/>
      <c r="L90" s="27"/>
      <c r="M90" s="27"/>
      <c r="N90" s="27"/>
    </row>
    <row r="91" spans="3:14" ht="45" customHeight="1" thickBot="1" x14ac:dyDescent="0.3">
      <c r="C91" s="81" t="s">
        <v>256</v>
      </c>
      <c r="D91" s="25" t="s">
        <v>286</v>
      </c>
      <c r="E91" s="82">
        <v>120</v>
      </c>
      <c r="F91" s="127" t="s">
        <v>6</v>
      </c>
      <c r="G91" s="323" t="s">
        <v>287</v>
      </c>
      <c r="H91" s="324"/>
      <c r="I91" s="300"/>
      <c r="J91" s="27"/>
      <c r="K91" s="78"/>
      <c r="L91" s="27"/>
      <c r="M91" s="27"/>
      <c r="N91" s="27"/>
    </row>
    <row r="92" spans="3:14" ht="35.450000000000003" customHeight="1" x14ac:dyDescent="0.25">
      <c r="J92" s="27"/>
      <c r="K92" s="78"/>
      <c r="L92" s="27"/>
      <c r="M92" s="27"/>
      <c r="N92" s="27"/>
    </row>
    <row r="93" spans="3:14" ht="35.450000000000003" customHeight="1" x14ac:dyDescent="0.25">
      <c r="J93" s="27"/>
      <c r="K93" s="78"/>
      <c r="L93" s="27"/>
      <c r="M93" s="27"/>
      <c r="N93" s="27"/>
    </row>
    <row r="94" spans="3:14" ht="18.75" x14ac:dyDescent="0.25">
      <c r="C94" s="56" t="s">
        <v>142</v>
      </c>
      <c r="D94" s="53"/>
      <c r="E94" s="53"/>
      <c r="F94" s="54"/>
      <c r="G94" s="53"/>
      <c r="H94" s="59"/>
      <c r="J94" s="27"/>
      <c r="K94" s="27"/>
      <c r="L94" s="27"/>
      <c r="M94" s="27"/>
      <c r="N94" s="27"/>
    </row>
    <row r="96" spans="3:14" ht="16.5" thickBot="1" x14ac:dyDescent="0.3">
      <c r="C96" s="121"/>
      <c r="D96"/>
      <c r="E96"/>
      <c r="F96"/>
      <c r="G96"/>
      <c r="H96"/>
      <c r="J96" s="27"/>
      <c r="K96" s="78"/>
      <c r="L96" s="27"/>
      <c r="M96" s="27"/>
      <c r="N96" s="27"/>
    </row>
    <row r="97" spans="3:36" ht="12.95" customHeight="1" x14ac:dyDescent="0.25">
      <c r="C97" s="362"/>
      <c r="D97" s="364"/>
      <c r="E97" s="191"/>
      <c r="F97" s="365" t="s">
        <v>277</v>
      </c>
      <c r="H97" s="3"/>
      <c r="S97" s="1"/>
      <c r="AJ97" s="3"/>
    </row>
    <row r="98" spans="3:36" ht="12.95" customHeight="1" x14ac:dyDescent="0.25">
      <c r="C98" s="362"/>
      <c r="D98" s="364"/>
      <c r="E98" s="191"/>
      <c r="F98" s="366"/>
      <c r="H98" s="3"/>
      <c r="L98" s="1"/>
      <c r="M98" s="1"/>
      <c r="N98" s="1"/>
      <c r="O98" s="1"/>
      <c r="P98" s="1"/>
      <c r="Q98" s="1"/>
      <c r="R98" s="1"/>
      <c r="S98" s="1"/>
      <c r="AC98" s="3"/>
      <c r="AD98" s="3"/>
      <c r="AE98" s="3"/>
      <c r="AF98" s="3"/>
      <c r="AG98" s="3"/>
      <c r="AH98" s="3"/>
      <c r="AI98" s="3"/>
      <c r="AJ98" s="3"/>
    </row>
    <row r="99" spans="3:36" ht="44.25" customHeight="1" thickBot="1" x14ac:dyDescent="0.3">
      <c r="C99" s="363"/>
      <c r="D99" s="363"/>
      <c r="E99" s="191"/>
      <c r="F99" s="367"/>
      <c r="H99" s="3"/>
      <c r="L99" s="1"/>
      <c r="M99" s="1"/>
      <c r="N99" s="1"/>
      <c r="O99" s="1"/>
      <c r="P99" s="1"/>
      <c r="Q99" s="1"/>
      <c r="R99" s="1"/>
      <c r="S99" s="1"/>
      <c r="AC99" s="3"/>
      <c r="AD99" s="3"/>
      <c r="AE99" s="3"/>
      <c r="AF99" s="3"/>
      <c r="AG99" s="3"/>
      <c r="AH99" s="3"/>
      <c r="AI99" s="3"/>
      <c r="AJ99" s="3"/>
    </row>
    <row r="100" spans="3:36" ht="35.450000000000003" customHeight="1" thickBot="1" x14ac:dyDescent="0.3">
      <c r="C100" s="317" t="s">
        <v>140</v>
      </c>
      <c r="D100" s="301" t="s">
        <v>209</v>
      </c>
      <c r="E100" s="192" t="s">
        <v>200</v>
      </c>
      <c r="F100" s="275">
        <v>15</v>
      </c>
      <c r="G100" s="199"/>
      <c r="H100" s="3"/>
      <c r="L100" s="1"/>
      <c r="M100" s="1"/>
      <c r="N100" s="1"/>
      <c r="O100" s="1"/>
      <c r="P100" s="1"/>
      <c r="Q100" s="1"/>
      <c r="R100" s="1"/>
      <c r="S100" s="1"/>
      <c r="AC100" s="3"/>
      <c r="AD100" s="3"/>
      <c r="AE100" s="3"/>
      <c r="AF100" s="3"/>
      <c r="AG100" s="3"/>
      <c r="AH100" s="3"/>
      <c r="AI100" s="3"/>
      <c r="AJ100" s="3"/>
    </row>
    <row r="101" spans="3:36" ht="15.75" thickBot="1" x14ac:dyDescent="0.3">
      <c r="C101" s="318"/>
      <c r="D101" s="302" t="s">
        <v>275</v>
      </c>
      <c r="E101" s="192" t="s">
        <v>201</v>
      </c>
      <c r="F101" s="275">
        <v>10</v>
      </c>
      <c r="G101" s="107"/>
      <c r="H101" s="3"/>
      <c r="L101" s="1"/>
      <c r="M101" s="1"/>
      <c r="N101" s="1"/>
      <c r="O101" s="1"/>
      <c r="P101" s="1"/>
      <c r="Q101" s="1"/>
      <c r="R101" s="1"/>
      <c r="S101" s="1"/>
      <c r="AC101" s="3"/>
      <c r="AD101" s="3"/>
      <c r="AE101" s="3"/>
      <c r="AF101" s="3"/>
      <c r="AG101" s="3"/>
      <c r="AH101" s="3"/>
      <c r="AI101" s="3"/>
      <c r="AJ101" s="3"/>
    </row>
    <row r="102" spans="3:36" ht="15.75" thickBot="1" x14ac:dyDescent="0.3">
      <c r="C102" s="318"/>
      <c r="D102" s="302" t="s">
        <v>276</v>
      </c>
      <c r="E102" s="192" t="s">
        <v>202</v>
      </c>
      <c r="F102" s="275">
        <v>8</v>
      </c>
      <c r="G102" s="107"/>
      <c r="H102" s="3"/>
      <c r="L102" s="1"/>
      <c r="M102" s="1"/>
      <c r="N102" s="1"/>
      <c r="O102" s="1"/>
      <c r="P102" s="1"/>
      <c r="Q102" s="1"/>
      <c r="R102" s="1"/>
      <c r="S102" s="1"/>
      <c r="AC102" s="3"/>
      <c r="AD102" s="3"/>
      <c r="AE102" s="3"/>
      <c r="AF102" s="3"/>
      <c r="AG102" s="3"/>
      <c r="AH102" s="3"/>
      <c r="AI102" s="3"/>
      <c r="AJ102" s="3"/>
    </row>
    <row r="103" spans="3:36" ht="15.75" thickBot="1" x14ac:dyDescent="0.3">
      <c r="C103" s="319"/>
      <c r="D103" s="302" t="s">
        <v>288</v>
      </c>
      <c r="E103" s="192" t="s">
        <v>274</v>
      </c>
      <c r="F103" s="275">
        <v>5</v>
      </c>
      <c r="G103" s="107"/>
      <c r="H103" s="3"/>
      <c r="L103" s="1"/>
      <c r="M103" s="1"/>
      <c r="N103" s="1"/>
      <c r="O103" s="1"/>
      <c r="P103" s="1"/>
      <c r="Q103" s="1"/>
      <c r="R103" s="1"/>
      <c r="S103" s="1"/>
      <c r="AC103" s="3"/>
      <c r="AD103" s="3"/>
      <c r="AE103" s="3"/>
      <c r="AF103" s="3"/>
      <c r="AG103" s="3"/>
      <c r="AH103" s="3"/>
      <c r="AI103" s="3"/>
      <c r="AJ103" s="3"/>
    </row>
    <row r="104" spans="3:36" ht="20.100000000000001" customHeight="1" x14ac:dyDescent="0.25">
      <c r="C104" s="122"/>
      <c r="D104" s="122"/>
      <c r="E104" s="122"/>
      <c r="F104" s="122"/>
      <c r="G104" s="122"/>
      <c r="H104" s="122"/>
      <c r="M104" s="1"/>
      <c r="N104" s="1"/>
      <c r="O104" s="1"/>
      <c r="P104" s="1"/>
      <c r="Q104" s="1"/>
      <c r="R104" s="1"/>
      <c r="S104" s="1"/>
      <c r="AD104" s="3"/>
      <c r="AE104" s="3"/>
      <c r="AF104" s="3"/>
      <c r="AG104" s="3"/>
      <c r="AH104" s="3"/>
      <c r="AI104" s="3"/>
      <c r="AJ104" s="3"/>
    </row>
    <row r="105" spans="3:36" ht="20.100000000000001" customHeight="1" x14ac:dyDescent="0.25">
      <c r="C105" s="122"/>
      <c r="D105" s="122"/>
      <c r="E105" s="122"/>
      <c r="F105" s="122"/>
      <c r="G105" s="122"/>
      <c r="H105" s="122"/>
    </row>
    <row r="106" spans="3:36" ht="18.75" x14ac:dyDescent="0.25">
      <c r="C106" s="56" t="s">
        <v>143</v>
      </c>
      <c r="D106" s="53"/>
      <c r="E106" s="53"/>
      <c r="F106" s="54"/>
      <c r="G106" s="53"/>
      <c r="H106" s="59"/>
      <c r="I106" s="291"/>
    </row>
    <row r="107" spans="3:36" x14ac:dyDescent="0.25">
      <c r="C107" s="122"/>
      <c r="D107" s="122"/>
      <c r="E107" s="122"/>
      <c r="F107" s="122"/>
      <c r="G107" s="122"/>
      <c r="H107" s="122"/>
      <c r="I107" s="291"/>
    </row>
    <row r="108" spans="3:36" ht="15.75" thickBot="1" x14ac:dyDescent="0.3">
      <c r="C108" s="122"/>
      <c r="D108" s="122"/>
      <c r="E108" s="122"/>
      <c r="F108" s="122"/>
      <c r="G108" s="122"/>
      <c r="H108" s="122"/>
      <c r="J108" s="27"/>
      <c r="K108" s="78"/>
      <c r="L108" s="27"/>
      <c r="M108" s="27"/>
      <c r="N108" s="27"/>
    </row>
    <row r="109" spans="3:36" ht="50.45" customHeight="1" thickBot="1" x14ac:dyDescent="0.3">
      <c r="C109" s="122"/>
      <c r="D109" s="122"/>
      <c r="F109" s="133" t="s">
        <v>280</v>
      </c>
      <c r="H109" s="3"/>
      <c r="I109" s="291"/>
    </row>
    <row r="110" spans="3:36" ht="39.950000000000003" customHeight="1" thickBot="1" x14ac:dyDescent="0.3">
      <c r="C110" s="320" t="s">
        <v>141</v>
      </c>
      <c r="D110" s="301" t="s">
        <v>209</v>
      </c>
      <c r="E110" s="192" t="s">
        <v>200</v>
      </c>
      <c r="F110" s="277">
        <v>17</v>
      </c>
      <c r="H110" s="3"/>
      <c r="Q110" s="1"/>
      <c r="R110" s="1"/>
      <c r="S110" s="1"/>
      <c r="AH110" s="3"/>
      <c r="AI110" s="3"/>
      <c r="AJ110" s="3"/>
    </row>
    <row r="111" spans="3:36" ht="15.75" thickBot="1" x14ac:dyDescent="0.3">
      <c r="C111" s="321"/>
      <c r="D111" s="302" t="s">
        <v>275</v>
      </c>
      <c r="E111" s="192" t="s">
        <v>201</v>
      </c>
      <c r="F111" s="277">
        <v>12</v>
      </c>
      <c r="H111" s="3"/>
      <c r="Q111" s="1"/>
      <c r="R111" s="1"/>
      <c r="S111" s="1"/>
      <c r="AH111" s="3"/>
      <c r="AI111" s="3"/>
      <c r="AJ111" s="3"/>
    </row>
    <row r="112" spans="3:36" ht="15.75" thickBot="1" x14ac:dyDescent="0.3">
      <c r="C112" s="321"/>
      <c r="D112" s="302" t="s">
        <v>276</v>
      </c>
      <c r="E112" s="192" t="s">
        <v>202</v>
      </c>
      <c r="F112" s="277">
        <v>9</v>
      </c>
      <c r="H112" s="3"/>
      <c r="Q112" s="1"/>
      <c r="R112" s="1"/>
      <c r="S112" s="1"/>
      <c r="AH112" s="3"/>
      <c r="AI112" s="3"/>
      <c r="AJ112" s="3"/>
    </row>
    <row r="113" spans="3:36" ht="15.75" thickBot="1" x14ac:dyDescent="0.3">
      <c r="C113" s="322"/>
      <c r="D113" s="302" t="s">
        <v>288</v>
      </c>
      <c r="E113" s="192" t="s">
        <v>274</v>
      </c>
      <c r="F113" s="277">
        <v>8</v>
      </c>
      <c r="H113" s="3"/>
      <c r="Q113" s="1"/>
      <c r="R113" s="1"/>
      <c r="S113" s="1"/>
      <c r="AH113" s="3"/>
      <c r="AI113" s="3"/>
      <c r="AJ113" s="3"/>
    </row>
    <row r="114" spans="3:36" ht="20.100000000000001" customHeight="1" x14ac:dyDescent="0.25">
      <c r="C114" s="121"/>
      <c r="D114"/>
      <c r="E114"/>
      <c r="F114"/>
      <c r="G114"/>
      <c r="H114"/>
      <c r="Q114" s="1"/>
      <c r="R114" s="1"/>
      <c r="S114" s="1"/>
      <c r="AH114" s="3"/>
      <c r="AI114" s="3"/>
      <c r="AJ114" s="3"/>
    </row>
    <row r="117" spans="3:36" ht="18.75" x14ac:dyDescent="0.25">
      <c r="C117" s="56" t="s">
        <v>269</v>
      </c>
      <c r="D117" s="53"/>
      <c r="E117" s="53"/>
      <c r="F117" s="54"/>
      <c r="G117" s="53"/>
      <c r="H117" s="59"/>
      <c r="J117" s="27"/>
      <c r="K117" s="78"/>
      <c r="L117" s="27"/>
      <c r="M117" s="27"/>
      <c r="N117" s="27"/>
    </row>
    <row r="119" spans="3:36" ht="13.5" thickBot="1" x14ac:dyDescent="0.3"/>
    <row r="120" spans="3:36" ht="15" x14ac:dyDescent="0.25">
      <c r="C120" s="303" t="s">
        <v>210</v>
      </c>
      <c r="D120" s="304" t="s">
        <v>212</v>
      </c>
    </row>
    <row r="121" spans="3:36" ht="33" customHeight="1" x14ac:dyDescent="0.25">
      <c r="C121" s="368" t="s">
        <v>291</v>
      </c>
      <c r="D121" s="305" t="s">
        <v>211</v>
      </c>
    </row>
    <row r="122" spans="3:36" ht="26.45" customHeight="1" thickBot="1" x14ac:dyDescent="0.3">
      <c r="C122" s="369"/>
      <c r="D122" s="306">
        <v>500</v>
      </c>
    </row>
  </sheetData>
  <sheetProtection algorithmName="SHA-512" hashValue="aby12IE9yebHPT0oGECEEzn7w1Vnqevos6hVxsdSu9vNpue4xxL/2xwKE/VRUIYfS7TrhjRQYgDWegeLzgtsLQ==" saltValue="WQzf+xXlOoFgkiquVgyguA==" spinCount="100000" sheet="1" objects="1" scenarios="1" selectLockedCells="1" selectUnlockedCells="1"/>
  <mergeCells count="43">
    <mergeCell ref="C121:C122"/>
    <mergeCell ref="E2:H2"/>
    <mergeCell ref="E3:H3"/>
    <mergeCell ref="E4:H4"/>
    <mergeCell ref="E6:H6"/>
    <mergeCell ref="F54:F55"/>
    <mergeCell ref="G41:H41"/>
    <mergeCell ref="G31:H31"/>
    <mergeCell ref="G16:G17"/>
    <mergeCell ref="H15:H17"/>
    <mergeCell ref="H19:H22"/>
    <mergeCell ref="C24:F24"/>
    <mergeCell ref="C19:C22"/>
    <mergeCell ref="F39:F40"/>
    <mergeCell ref="E5:H5"/>
    <mergeCell ref="F33:F37"/>
    <mergeCell ref="C15:C17"/>
    <mergeCell ref="C97:C99"/>
    <mergeCell ref="D97:D99"/>
    <mergeCell ref="F97:F99"/>
    <mergeCell ref="C69:C72"/>
    <mergeCell ref="C53:C55"/>
    <mergeCell ref="C75:C77"/>
    <mergeCell ref="C32:C37"/>
    <mergeCell ref="I15:N15"/>
    <mergeCell ref="I21:N21"/>
    <mergeCell ref="G39:H40"/>
    <mergeCell ref="G38:H38"/>
    <mergeCell ref="G19:G22"/>
    <mergeCell ref="C100:C103"/>
    <mergeCell ref="C110:C113"/>
    <mergeCell ref="G91:H91"/>
    <mergeCell ref="H69:H71"/>
    <mergeCell ref="G32:H37"/>
    <mergeCell ref="G83:H83"/>
    <mergeCell ref="G52:H52"/>
    <mergeCell ref="G53:H55"/>
    <mergeCell ref="G74:G77"/>
    <mergeCell ref="H75:H77"/>
    <mergeCell ref="G70:G71"/>
    <mergeCell ref="G58:H58"/>
    <mergeCell ref="G56:H56"/>
    <mergeCell ref="G57:H57"/>
  </mergeCells>
  <pageMargins left="0.43307086614173229" right="0.43307086614173229" top="0.39370078740157483" bottom="0.39370078740157483" header="0.31496062992125984" footer="0.31496062992125984"/>
  <pageSetup paperSize="9" scale="5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6"/>
  <sheetViews>
    <sheetView topLeftCell="A4" zoomScaleNormal="100" workbookViewId="0">
      <selection activeCell="B10" sqref="B10"/>
    </sheetView>
  </sheetViews>
  <sheetFormatPr baseColWidth="10" defaultRowHeight="15" x14ac:dyDescent="0.25"/>
  <cols>
    <col min="1" max="1" width="13.5703125" customWidth="1"/>
    <col min="2" max="2" width="14.85546875" customWidth="1"/>
    <col min="3" max="3" width="21.5703125" customWidth="1"/>
    <col min="4" max="8" width="17.140625" customWidth="1"/>
  </cols>
  <sheetData>
    <row r="1" spans="1:14" x14ac:dyDescent="0.25">
      <c r="A1" s="70"/>
    </row>
    <row r="2" spans="1:14" ht="26.25" x14ac:dyDescent="0.25">
      <c r="A2" s="10" t="s">
        <v>205</v>
      </c>
    </row>
    <row r="3" spans="1:14" ht="18.75" x14ac:dyDescent="0.25">
      <c r="A3" s="201" t="s">
        <v>15</v>
      </c>
    </row>
    <row r="4" spans="1:14" ht="18.75" x14ac:dyDescent="0.25">
      <c r="A4" s="201" t="s">
        <v>165</v>
      </c>
    </row>
    <row r="8" spans="1:14" ht="32.1" customHeight="1" x14ac:dyDescent="0.25">
      <c r="A8" s="464" t="s">
        <v>30</v>
      </c>
      <c r="B8" s="464"/>
      <c r="C8" s="457" t="s">
        <v>75</v>
      </c>
      <c r="D8" s="459"/>
    </row>
    <row r="9" spans="1:14" ht="30" x14ac:dyDescent="0.25">
      <c r="A9" s="196" t="s">
        <v>83</v>
      </c>
      <c r="B9" s="196" t="s">
        <v>198</v>
      </c>
      <c r="C9" s="196" t="s">
        <v>195</v>
      </c>
      <c r="D9" s="196" t="s">
        <v>203</v>
      </c>
      <c r="E9" s="272"/>
      <c r="F9" s="269"/>
      <c r="G9" s="269"/>
      <c r="H9" s="269"/>
      <c r="I9" s="269"/>
      <c r="J9" s="269"/>
      <c r="K9" s="269"/>
      <c r="L9" s="269"/>
      <c r="M9" s="269"/>
      <c r="N9" s="269"/>
    </row>
    <row r="10" spans="1:14" x14ac:dyDescent="0.25">
      <c r="A10" s="34" t="str">
        <f>IF(SYNTHESE!A140="","",SYNTHESE!A140)</f>
        <v/>
      </c>
      <c r="B10" s="34" t="str">
        <f>IF(A10="","",SYNTHESE!B140)</f>
        <v/>
      </c>
      <c r="C10" s="34" t="str">
        <f>IF(B10="","",SYNTHESE!C140)</f>
        <v/>
      </c>
      <c r="D10" s="197" t="str">
        <f>IF(B10="","",IF(AND(C10&lt;100,C10&gt;=25),"surface 1",IF(AND(C10&lt;=199,C10&gt;=100),"surface 2",IF(AND(C10&lt;=299,C10&gt;=200),"surface 3",IF(AND(C10&lt;=500,C10&gt;=300),"surface 4","erreur")))))</f>
        <v/>
      </c>
      <c r="E10" s="269"/>
      <c r="F10" s="269"/>
      <c r="G10" s="269"/>
      <c r="H10" s="269"/>
      <c r="I10" s="269"/>
      <c r="J10" s="269"/>
      <c r="K10" s="269"/>
      <c r="L10" s="269"/>
      <c r="M10" s="269"/>
      <c r="N10" s="269"/>
    </row>
    <row r="11" spans="1:14" x14ac:dyDescent="0.25">
      <c r="A11" s="34" t="str">
        <f>IF(SYNTHESE!A141="","",SYNTHESE!A141)</f>
        <v/>
      </c>
      <c r="B11" s="34" t="str">
        <f>IF(A11="","",SYNTHESE!B141)</f>
        <v/>
      </c>
      <c r="C11" s="34" t="str">
        <f>IF(B11="","",SYNTHESE!C141)</f>
        <v/>
      </c>
      <c r="D11" s="197" t="str">
        <f t="shared" ref="D11:D14" si="0">IF(B11="","",IF(AND(C11&lt;100,C11&gt;=25),"surface 1",IF(AND(C11&lt;=199,C11&gt;=100),"surface 2",IF(AND(C11&lt;=299,C11&gt;=200),"surface 3",IF(AND(C11&lt;=500,C11&gt;=300),"surface 4","erreur")))))</f>
        <v/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</row>
    <row r="12" spans="1:14" x14ac:dyDescent="0.25">
      <c r="A12" s="34" t="str">
        <f>IF(SYNTHESE!A142="","",SYNTHESE!A142)</f>
        <v/>
      </c>
      <c r="B12" s="34" t="str">
        <f>IF(A12="","",SYNTHESE!B142)</f>
        <v/>
      </c>
      <c r="C12" s="34" t="str">
        <f>IF(B12="","",SYNTHESE!C142)</f>
        <v/>
      </c>
      <c r="D12" s="197" t="str">
        <f t="shared" si="0"/>
        <v/>
      </c>
    </row>
    <row r="13" spans="1:14" x14ac:dyDescent="0.25">
      <c r="A13" s="34" t="str">
        <f>IF(SYNTHESE!A143="","",SYNTHESE!A143)</f>
        <v/>
      </c>
      <c r="B13" s="34" t="str">
        <f>IF(A13="","",SYNTHESE!B143)</f>
        <v/>
      </c>
      <c r="C13" s="34" t="str">
        <f>IF(B13="","",SYNTHESE!C143)</f>
        <v/>
      </c>
      <c r="D13" s="197" t="str">
        <f t="shared" si="0"/>
        <v/>
      </c>
    </row>
    <row r="14" spans="1:14" x14ac:dyDescent="0.25">
      <c r="A14" s="34" t="str">
        <f>IF(SYNTHESE!A144="","",SYNTHESE!A144)</f>
        <v/>
      </c>
      <c r="B14" s="34" t="str">
        <f>IF(A14="","",SYNTHESE!B144)</f>
        <v/>
      </c>
      <c r="C14" s="34" t="str">
        <f>IF(B14="","",SYNTHESE!C144)</f>
        <v/>
      </c>
      <c r="D14" s="197" t="str">
        <f t="shared" si="0"/>
        <v/>
      </c>
    </row>
    <row r="16" spans="1:14" x14ac:dyDescent="0.25">
      <c r="A16" s="40" t="s">
        <v>282</v>
      </c>
    </row>
    <row r="18" spans="1:5" ht="36" customHeight="1" x14ac:dyDescent="0.25">
      <c r="A18" s="464" t="s">
        <v>30</v>
      </c>
      <c r="B18" s="464"/>
      <c r="C18" s="475" t="s">
        <v>279</v>
      </c>
      <c r="D18" s="475" t="s">
        <v>281</v>
      </c>
    </row>
    <row r="19" spans="1:5" ht="30" x14ac:dyDescent="0.25">
      <c r="A19" s="196" t="s">
        <v>52</v>
      </c>
      <c r="B19" s="196" t="s">
        <v>199</v>
      </c>
      <c r="C19" s="476"/>
      <c r="D19" s="476"/>
      <c r="E19" s="278"/>
    </row>
    <row r="20" spans="1:5" x14ac:dyDescent="0.25">
      <c r="A20" s="34" t="str">
        <f>IF(SYNTHESE!A140="","",SYNTHESE!A140)</f>
        <v/>
      </c>
      <c r="B20" s="34" t="str">
        <f>IF(SYNTHESE!B140="","",SYNTHESE!B140)</f>
        <v/>
      </c>
      <c r="C20" s="41" t="str">
        <f>IF(B20="","",IF(D10="surface 1",Barèmes!$F$110*C10,IF(D10="surface 2",Barèmes!$F$111*C10,IF(D10="surface 3",Barèmes!$F$112*C10,IF(D10="surface 4",Barèmes!$F$113*C10,"erreur")))))</f>
        <v/>
      </c>
      <c r="D20" s="41" t="str">
        <f>IF(A20="","",C20)</f>
        <v/>
      </c>
    </row>
    <row r="21" spans="1:5" x14ac:dyDescent="0.25">
      <c r="A21" s="34" t="str">
        <f>IF(SYNTHESE!A141="","",SYNTHESE!A141)</f>
        <v/>
      </c>
      <c r="B21" s="34" t="str">
        <f>IF(SYNTHESE!B141="","",SYNTHESE!B141)</f>
        <v/>
      </c>
      <c r="C21" s="41" t="str">
        <f>IF(B21="","",IF(D11="surface 1",Barèmes!$F$110*C11,IF(D11="surface 2",Barèmes!$F$111*C11,IF(D11="surface 3",Barèmes!$F$112*C11,IF(D11="surface 4",Barèmes!$F$113*C11,"erreur")))))</f>
        <v/>
      </c>
      <c r="D21" s="41" t="str">
        <f t="shared" ref="D21:D25" si="1">IF(A21="","",C21)</f>
        <v/>
      </c>
    </row>
    <row r="22" spans="1:5" x14ac:dyDescent="0.25">
      <c r="A22" s="34" t="str">
        <f>IF(SYNTHESE!A142="","",SYNTHESE!A142)</f>
        <v/>
      </c>
      <c r="B22" s="34" t="str">
        <f>IF(SYNTHESE!B142="","",SYNTHESE!B142)</f>
        <v/>
      </c>
      <c r="C22" s="41" t="str">
        <f>IF(B22="","",IF(D12="surface 1",Barèmes!$F$110*C12,IF(D12="surface 2",Barèmes!$F$111*C12,IF(D12="surface 3",Barèmes!$F$112*C12,IF(D12="surface 4",Barèmes!$F$113*C12,"erreur")))))</f>
        <v/>
      </c>
      <c r="D22" s="41" t="str">
        <f t="shared" si="1"/>
        <v/>
      </c>
    </row>
    <row r="23" spans="1:5" x14ac:dyDescent="0.25">
      <c r="A23" s="34" t="str">
        <f>IF(SYNTHESE!A143="","",SYNTHESE!A143)</f>
        <v/>
      </c>
      <c r="B23" s="34" t="str">
        <f>IF(SYNTHESE!B143="","",SYNTHESE!B143)</f>
        <v/>
      </c>
      <c r="C23" s="41" t="str">
        <f>IF(B23="","",IF(D13="surface 1",Barèmes!$F$110*C13,IF(D13="surface 2",Barèmes!$F$111*C13,IF(D13="surface 3",Barèmes!$F$112*C13,IF(D13="surface 4",Barèmes!$F$113*C13,"erreur")))))</f>
        <v/>
      </c>
      <c r="D23" s="41" t="str">
        <f t="shared" si="1"/>
        <v/>
      </c>
    </row>
    <row r="24" spans="1:5" x14ac:dyDescent="0.25">
      <c r="A24" s="34" t="str">
        <f>IF(SYNTHESE!A144="","",SYNTHESE!A144)</f>
        <v/>
      </c>
      <c r="B24" s="34" t="str">
        <f>IF(SYNTHESE!B144="","",SYNTHESE!B144)</f>
        <v/>
      </c>
      <c r="C24" s="41" t="str">
        <f>IF(B24="","",IF(D14="surface 1",Barèmes!$F$110*C14,IF(D14="surface 2",Barèmes!$F$111*C14,IF(D14="surface 3",Barèmes!$F$112*C14,IF(D14="surface 4",Barèmes!$F$113*C14,"erreur")))))</f>
        <v/>
      </c>
      <c r="D24" s="41" t="str">
        <f t="shared" si="1"/>
        <v/>
      </c>
    </row>
    <row r="25" spans="1:5" x14ac:dyDescent="0.25">
      <c r="A25" s="34" t="str">
        <f>IF(SYNTHESE!A145="","",SYNTHESE!A145)</f>
        <v/>
      </c>
      <c r="B25" s="34" t="str">
        <f>IF(SYNTHESE!B145="","",SYNTHESE!B145)</f>
        <v/>
      </c>
      <c r="C25" s="41" t="str">
        <f>IF(B25="","",IF(D15="surface 1",Barèmes!$F$110*C15,IF(D15="surface 2",Barèmes!$F$111*C15,IF(D15="surface 3",Barèmes!$F$112*C15,IF(D15="surface 4",Barèmes!$F$113*C15,"erreur")))))</f>
        <v/>
      </c>
      <c r="D25" s="41" t="str">
        <f t="shared" si="1"/>
        <v/>
      </c>
    </row>
    <row r="26" spans="1:5" ht="15.75" thickBot="1" x14ac:dyDescent="0.3">
      <c r="D26" s="200">
        <f>SUM(D20:D25)</f>
        <v>0</v>
      </c>
    </row>
  </sheetData>
  <sheetProtection algorithmName="SHA-512" hashValue="URW2lMooXB/0zomvER7y1T+uHpOTLAApBiWvtpsrd81p+ABsr111jKK/v2WGj7WKltCh+KRajzOlpnQmOAcwtA==" saltValue="75gxoORYXlU+NkwXWNVAIg==" spinCount="100000" sheet="1" objects="1" scenarios="1" selectLockedCells="1" selectUnlockedCells="1"/>
  <mergeCells count="5">
    <mergeCell ref="A8:B8"/>
    <mergeCell ref="A18:B18"/>
    <mergeCell ref="D18:D19"/>
    <mergeCell ref="C8:D8"/>
    <mergeCell ref="C18:C1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16"/>
  <sheetViews>
    <sheetView zoomScale="96" zoomScaleNormal="96" workbookViewId="0">
      <selection activeCell="B10" sqref="B10"/>
    </sheetView>
  </sheetViews>
  <sheetFormatPr baseColWidth="10" defaultRowHeight="15" x14ac:dyDescent="0.25"/>
  <cols>
    <col min="1" max="1" width="25.42578125" customWidth="1"/>
    <col min="2" max="2" width="16.140625" customWidth="1"/>
    <col min="3" max="3" width="15.85546875" customWidth="1"/>
    <col min="4" max="4" width="23.140625" customWidth="1"/>
    <col min="5" max="5" width="34.28515625" customWidth="1"/>
  </cols>
  <sheetData>
    <row r="2" spans="1:5" ht="26.25" x14ac:dyDescent="0.25">
      <c r="A2" s="7" t="s">
        <v>271</v>
      </c>
    </row>
    <row r="3" spans="1:5" ht="18.75" x14ac:dyDescent="0.25">
      <c r="A3" s="8" t="s">
        <v>15</v>
      </c>
    </row>
    <row r="4" spans="1:5" ht="18.75" x14ac:dyDescent="0.25">
      <c r="A4" s="8" t="s">
        <v>272</v>
      </c>
    </row>
    <row r="8" spans="1:5" x14ac:dyDescent="0.25">
      <c r="A8" s="457" t="s">
        <v>30</v>
      </c>
      <c r="B8" s="459"/>
      <c r="C8" s="455" t="s">
        <v>266</v>
      </c>
      <c r="D8" s="473" t="s">
        <v>281</v>
      </c>
      <c r="E8" s="278"/>
    </row>
    <row r="9" spans="1:5" ht="30" x14ac:dyDescent="0.25">
      <c r="A9" s="241" t="s">
        <v>83</v>
      </c>
      <c r="B9" s="241" t="s">
        <v>111</v>
      </c>
      <c r="C9" s="456"/>
      <c r="D9" s="474"/>
    </row>
    <row r="10" spans="1:5" x14ac:dyDescent="0.25">
      <c r="A10" s="71" t="str">
        <f>IF(SYNTHESE!A167="","",SYNTHESE!A167)</f>
        <v/>
      </c>
      <c r="B10" s="71" t="str">
        <f>IF(A10="","",SYNTHESE!B167)</f>
        <v/>
      </c>
      <c r="C10" s="173" t="str">
        <f>IF(A10="","",SYNTHESE!C167*Barèmes!$D$122)</f>
        <v/>
      </c>
      <c r="D10" s="173" t="str">
        <f>IF(A10="","",C10)</f>
        <v/>
      </c>
      <c r="E10" s="292"/>
    </row>
    <row r="11" spans="1:5" x14ac:dyDescent="0.25">
      <c r="A11" s="71" t="str">
        <f>IF(SYNTHESE!A168="","",SYNTHESE!A168)</f>
        <v/>
      </c>
      <c r="B11" s="71" t="str">
        <f>IF(A11="","",SYNTHESE!B168)</f>
        <v/>
      </c>
      <c r="C11" s="173" t="str">
        <f>IF(A11="","",SYNTHESE!C168*Barèmes!$D$122)</f>
        <v/>
      </c>
      <c r="D11" s="173" t="str">
        <f t="shared" ref="D11:D15" si="0">IF(A11="","",C11)</f>
        <v/>
      </c>
      <c r="E11" s="292"/>
    </row>
    <row r="12" spans="1:5" x14ac:dyDescent="0.25">
      <c r="A12" s="71" t="str">
        <f>IF(SYNTHESE!A169="","",SYNTHESE!A169)</f>
        <v/>
      </c>
      <c r="B12" s="71" t="str">
        <f>IF(A12="","",SYNTHESE!B169)</f>
        <v/>
      </c>
      <c r="C12" s="173" t="str">
        <f>IF(A12="","",SYNTHESE!C169*Barèmes!$D$122)</f>
        <v/>
      </c>
      <c r="D12" s="173" t="str">
        <f t="shared" si="0"/>
        <v/>
      </c>
      <c r="E12" s="296"/>
    </row>
    <row r="13" spans="1:5" x14ac:dyDescent="0.25">
      <c r="A13" s="71" t="str">
        <f>IF(SYNTHESE!A170="","",SYNTHESE!A170)</f>
        <v/>
      </c>
      <c r="B13" s="71" t="str">
        <f>IF(A13="","",SYNTHESE!B170)</f>
        <v/>
      </c>
      <c r="C13" s="173" t="str">
        <f>IF(A13="","",SYNTHESE!C170*Barèmes!$D$122)</f>
        <v/>
      </c>
      <c r="D13" s="173" t="str">
        <f t="shared" si="0"/>
        <v/>
      </c>
    </row>
    <row r="14" spans="1:5" x14ac:dyDescent="0.25">
      <c r="A14" s="71" t="str">
        <f>IF(SYNTHESE!A171="","",SYNTHESE!A171)</f>
        <v/>
      </c>
      <c r="B14" s="71" t="str">
        <f>IF(A14="","",SYNTHESE!B171)</f>
        <v/>
      </c>
      <c r="C14" s="173" t="str">
        <f>IF(A14="","",SYNTHESE!C171*Barèmes!$D$122)</f>
        <v/>
      </c>
      <c r="D14" s="173" t="str">
        <f t="shared" si="0"/>
        <v/>
      </c>
    </row>
    <row r="15" spans="1:5" x14ac:dyDescent="0.25">
      <c r="A15" s="71" t="str">
        <f>IF(SYNTHESE!A172="","",SYNTHESE!A172)</f>
        <v/>
      </c>
      <c r="B15" s="71" t="str">
        <f>IF(A15="","",SYNTHESE!B172)</f>
        <v/>
      </c>
      <c r="C15" s="173" t="str">
        <f>IF(A15="","",SYNTHESE!C172*Barèmes!$D$122)</f>
        <v/>
      </c>
      <c r="D15" s="173" t="str">
        <f t="shared" si="0"/>
        <v/>
      </c>
    </row>
    <row r="16" spans="1:5" x14ac:dyDescent="0.25">
      <c r="D16" s="235">
        <f>SUM(D10:D15)</f>
        <v>0</v>
      </c>
    </row>
  </sheetData>
  <sheetProtection algorithmName="SHA-512" hashValue="PZ0uIPLpr08Nbr7Mh9W2NoNGPecLLE7BjIkX92WlSwfhJ1NKnO1TanclfX1+baCJdYUv8fipSWLQyvQuBV124A==" saltValue="Tb8crMsUVxjzw4IlytAZzQ==" spinCount="100000" sheet="1" objects="1" scenarios="1" selectLockedCells="1" selectUnlockedCells="1"/>
  <mergeCells count="3">
    <mergeCell ref="A8:B8"/>
    <mergeCell ref="C8:C9"/>
    <mergeCell ref="D8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72"/>
  <sheetViews>
    <sheetView showGridLines="0" topLeftCell="A10" zoomScale="70" zoomScaleNormal="70" workbookViewId="0">
      <selection activeCell="E39" sqref="E39"/>
    </sheetView>
  </sheetViews>
  <sheetFormatPr baseColWidth="10" defaultColWidth="10.85546875" defaultRowHeight="15" x14ac:dyDescent="0.25"/>
  <cols>
    <col min="1" max="2" width="14.85546875" style="27" customWidth="1"/>
    <col min="3" max="3" width="16.42578125" style="27" customWidth="1"/>
    <col min="4" max="4" width="20.42578125" style="27" customWidth="1"/>
    <col min="5" max="5" width="20.140625" style="27" customWidth="1"/>
    <col min="6" max="8" width="18" style="27" customWidth="1"/>
    <col min="9" max="9" width="17" style="27" customWidth="1"/>
    <col min="10" max="10" width="12.85546875" style="27" customWidth="1"/>
    <col min="11" max="11" width="13.5703125" style="27" customWidth="1"/>
    <col min="12" max="12" width="18.5703125" style="27" customWidth="1"/>
    <col min="13" max="13" width="15.7109375" style="27" customWidth="1"/>
    <col min="14" max="14" width="18.85546875" style="27" customWidth="1"/>
    <col min="15" max="15" width="17.28515625" style="27" customWidth="1"/>
    <col min="16" max="16384" width="10.85546875" style="27"/>
  </cols>
  <sheetData>
    <row r="2" spans="1:24" ht="32.25" x14ac:dyDescent="0.25">
      <c r="B2" s="184"/>
      <c r="D2" s="184"/>
      <c r="E2" s="401" t="s">
        <v>145</v>
      </c>
      <c r="F2" s="401"/>
      <c r="G2" s="401"/>
      <c r="H2" s="401"/>
      <c r="I2" s="401"/>
      <c r="J2" s="401"/>
      <c r="K2" s="401"/>
      <c r="L2" s="401"/>
    </row>
    <row r="3" spans="1:24" ht="19.5" x14ac:dyDescent="0.3">
      <c r="A3" s="43"/>
      <c r="B3" s="43"/>
      <c r="D3" s="43"/>
      <c r="E3" s="371" t="s">
        <v>146</v>
      </c>
      <c r="F3" s="371"/>
      <c r="G3" s="371"/>
      <c r="H3" s="371"/>
      <c r="I3" s="371"/>
      <c r="J3" s="371"/>
      <c r="K3" s="371"/>
      <c r="L3" s="371"/>
    </row>
    <row r="4" spans="1:24" ht="19.5" customHeight="1" x14ac:dyDescent="0.3">
      <c r="D4" s="43"/>
      <c r="E4" s="371" t="s">
        <v>147</v>
      </c>
      <c r="F4" s="371"/>
      <c r="G4" s="371"/>
      <c r="H4" s="371"/>
      <c r="I4" s="371"/>
      <c r="J4" s="371"/>
      <c r="K4" s="371"/>
      <c r="L4" s="371"/>
    </row>
    <row r="5" spans="1:24" ht="19.5" x14ac:dyDescent="0.3">
      <c r="D5" s="43"/>
      <c r="E5" s="371" t="s">
        <v>148</v>
      </c>
      <c r="F5" s="371"/>
      <c r="G5" s="371"/>
      <c r="H5" s="371"/>
      <c r="I5" s="371"/>
      <c r="J5" s="371"/>
      <c r="K5" s="371"/>
      <c r="L5" s="371"/>
    </row>
    <row r="6" spans="1:24" ht="19.5" x14ac:dyDescent="0.3">
      <c r="F6" s="43"/>
      <c r="G6" s="43"/>
      <c r="H6" s="43"/>
    </row>
    <row r="8" spans="1:24" x14ac:dyDescent="0.25"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1:24" ht="15.75" thickBot="1" x14ac:dyDescent="0.3"/>
    <row r="10" spans="1:24" s="28" customFormat="1" ht="27" thickBot="1" x14ac:dyDescent="0.3">
      <c r="A10" s="378" t="s">
        <v>27</v>
      </c>
      <c r="B10" s="378"/>
      <c r="C10" s="378"/>
      <c r="D10" s="402"/>
      <c r="E10" s="403"/>
      <c r="F10" s="403"/>
      <c r="G10" s="403"/>
      <c r="H10" s="404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28" customFormat="1" ht="9.9499999999999993" customHeight="1" thickBot="1" x14ac:dyDescent="0.3">
      <c r="A11" s="29"/>
      <c r="B11" s="29"/>
      <c r="C11" s="29"/>
      <c r="D11" s="11"/>
      <c r="E11" s="11"/>
      <c r="F11" s="11"/>
      <c r="G11" s="10"/>
      <c r="H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28" customFormat="1" ht="27" thickBot="1" x14ac:dyDescent="0.3">
      <c r="A12" s="378" t="s">
        <v>28</v>
      </c>
      <c r="B12" s="378"/>
      <c r="C12" s="378"/>
      <c r="D12" s="411"/>
      <c r="E12" s="412"/>
      <c r="F12" s="412"/>
      <c r="G12" s="412"/>
      <c r="H12" s="4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28" customFormat="1" ht="26.25" x14ac:dyDescent="0.25">
      <c r="A13" s="105"/>
      <c r="B13" s="105"/>
      <c r="C13" s="105"/>
      <c r="D13" s="105"/>
      <c r="E13" s="105"/>
      <c r="F13" s="105"/>
      <c r="G13" s="105"/>
      <c r="H13" s="105"/>
      <c r="I13" s="117"/>
      <c r="J13" s="117"/>
      <c r="K13" s="117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28" customFormat="1" ht="26.25" x14ac:dyDescent="0.25">
      <c r="A14" s="29"/>
      <c r="B14" s="29" t="str">
        <f>IF(SYNTHESE!B55="","","")</f>
        <v/>
      </c>
      <c r="C14" s="29"/>
      <c r="D14" s="29"/>
      <c r="E14" s="29"/>
      <c r="F14" s="29"/>
      <c r="G14" s="29"/>
      <c r="H14" s="29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s="28" customFormat="1" ht="14.1" customHeight="1" thickBot="1" x14ac:dyDescent="0.3">
      <c r="A15" s="29"/>
      <c r="B15" s="29"/>
      <c r="C15" s="29"/>
      <c r="D15" s="12"/>
      <c r="E15" s="12"/>
      <c r="F15" s="1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24" s="28" customFormat="1" ht="32.25" thickBot="1" x14ac:dyDescent="0.3">
      <c r="A16" s="118" t="s">
        <v>34</v>
      </c>
      <c r="B16" s="29"/>
      <c r="C16" s="395" t="s">
        <v>38</v>
      </c>
      <c r="D16" s="396"/>
      <c r="E16" s="142" t="s">
        <v>159</v>
      </c>
      <c r="F16" s="12"/>
      <c r="G16" s="13"/>
      <c r="H16" s="416" t="s">
        <v>91</v>
      </c>
      <c r="I16" s="417"/>
      <c r="J16" s="140"/>
      <c r="K16" s="10"/>
      <c r="L16" s="10"/>
      <c r="M16" s="10"/>
      <c r="N16" s="10"/>
      <c r="O16" s="10"/>
      <c r="P16" s="10"/>
      <c r="Q16" s="10"/>
      <c r="R16" s="10"/>
      <c r="S16" s="10"/>
    </row>
    <row r="17" spans="1:19" s="28" customFormat="1" ht="17.100000000000001" customHeight="1" x14ac:dyDescent="0.25">
      <c r="B17" s="29"/>
      <c r="C17" s="414" t="s">
        <v>35</v>
      </c>
      <c r="D17" s="415"/>
      <c r="E17" s="141">
        <f>N45</f>
        <v>2631.94</v>
      </c>
      <c r="F17" s="12"/>
      <c r="G17" s="10"/>
      <c r="H17" s="418" t="s">
        <v>184</v>
      </c>
      <c r="I17" s="419"/>
      <c r="J17" s="139">
        <f>SUM(C39:C44)</f>
        <v>100</v>
      </c>
      <c r="K17" s="10"/>
      <c r="L17" s="10"/>
      <c r="M17" s="10"/>
      <c r="N17" s="10"/>
      <c r="O17" s="10"/>
      <c r="P17" s="10"/>
      <c r="Q17" s="10"/>
      <c r="R17" s="10"/>
      <c r="S17" s="10"/>
    </row>
    <row r="18" spans="1:19" s="28" customFormat="1" ht="17.100000000000001" customHeight="1" x14ac:dyDescent="0.25">
      <c r="A18" s="29"/>
      <c r="B18" s="29"/>
      <c r="C18" s="393" t="s">
        <v>36</v>
      </c>
      <c r="D18" s="394"/>
      <c r="E18" s="134">
        <f>M60</f>
        <v>1304.0403999999999</v>
      </c>
      <c r="F18" s="12"/>
      <c r="G18" s="10"/>
      <c r="H18" s="420" t="s">
        <v>134</v>
      </c>
      <c r="I18" s="421"/>
      <c r="J18" s="111">
        <f>SUM(D55:D59)</f>
        <v>52</v>
      </c>
      <c r="K18" s="10"/>
      <c r="L18" s="10"/>
      <c r="M18" s="10"/>
      <c r="N18" s="10"/>
      <c r="O18" s="10"/>
      <c r="P18" s="10"/>
      <c r="Q18" s="10"/>
      <c r="R18" s="10"/>
      <c r="S18" s="10"/>
    </row>
    <row r="19" spans="1:19" s="28" customFormat="1" ht="17.100000000000001" customHeight="1" x14ac:dyDescent="0.25">
      <c r="A19" s="29"/>
      <c r="B19" s="29"/>
      <c r="C19" s="174" t="s">
        <v>37</v>
      </c>
      <c r="D19" s="175"/>
      <c r="E19" s="134">
        <f>F76</f>
        <v>0</v>
      </c>
      <c r="F19" s="12"/>
      <c r="G19" s="10"/>
      <c r="H19" s="430" t="s">
        <v>258</v>
      </c>
      <c r="I19" s="431"/>
      <c r="J19" s="111">
        <f>SUM('calcul BOS'!C12:C16)</f>
        <v>0</v>
      </c>
      <c r="K19" s="10"/>
      <c r="L19" s="10"/>
      <c r="M19" s="10"/>
      <c r="N19" s="10"/>
      <c r="O19" s="10"/>
      <c r="P19" s="10"/>
      <c r="Q19" s="10"/>
      <c r="R19" s="10"/>
      <c r="S19" s="10"/>
    </row>
    <row r="20" spans="1:19" s="28" customFormat="1" ht="17.100000000000001" customHeight="1" x14ac:dyDescent="0.25">
      <c r="A20" s="29"/>
      <c r="B20" s="29"/>
      <c r="C20" s="174" t="s">
        <v>98</v>
      </c>
      <c r="D20" s="175"/>
      <c r="E20" s="134">
        <f>M92</f>
        <v>0</v>
      </c>
      <c r="F20" s="12"/>
      <c r="G20" s="10"/>
      <c r="H20" s="430" t="s">
        <v>185</v>
      </c>
      <c r="I20" s="431"/>
      <c r="J20" s="111">
        <f>SUM(D86:D90)</f>
        <v>0</v>
      </c>
      <c r="K20" s="10"/>
      <c r="L20" s="10"/>
      <c r="M20" s="10"/>
      <c r="N20" s="10"/>
      <c r="O20" s="10"/>
      <c r="P20" s="10"/>
      <c r="Q20" s="10"/>
      <c r="R20" s="10"/>
      <c r="S20" s="10"/>
    </row>
    <row r="21" spans="1:19" s="28" customFormat="1" ht="17.100000000000001" customHeight="1" x14ac:dyDescent="0.25">
      <c r="A21" s="29"/>
      <c r="B21" s="29"/>
      <c r="C21" s="174" t="s">
        <v>110</v>
      </c>
      <c r="D21" s="175"/>
      <c r="E21" s="134">
        <f>E105</f>
        <v>0</v>
      </c>
      <c r="F21" s="12"/>
      <c r="G21" s="10"/>
      <c r="H21" s="430" t="s">
        <v>188</v>
      </c>
      <c r="I21" s="431"/>
      <c r="J21" s="111">
        <f>SUM('calcul BEM'!D14:D19)</f>
        <v>0</v>
      </c>
      <c r="K21" s="10"/>
      <c r="L21" s="10"/>
      <c r="M21" s="10"/>
      <c r="N21" s="10"/>
      <c r="O21" s="10"/>
      <c r="P21" s="10"/>
      <c r="Q21" s="10"/>
      <c r="R21" s="10"/>
      <c r="S21" s="10"/>
    </row>
    <row r="22" spans="1:19" s="28" customFormat="1" ht="17.100000000000001" customHeight="1" x14ac:dyDescent="0.25">
      <c r="A22" s="29"/>
      <c r="B22" s="29"/>
      <c r="C22" s="136" t="s">
        <v>163</v>
      </c>
      <c r="D22" s="137"/>
      <c r="E22" s="138">
        <f>'calcul fascines'!D17</f>
        <v>0</v>
      </c>
      <c r="F22" s="12"/>
      <c r="G22" s="10"/>
      <c r="H22" s="430" t="s">
        <v>259</v>
      </c>
      <c r="I22" s="431"/>
      <c r="J22" s="111">
        <f>SUM(C114:C118)</f>
        <v>0</v>
      </c>
      <c r="K22" s="10"/>
      <c r="L22" s="10"/>
      <c r="M22" s="10"/>
      <c r="N22" s="10"/>
      <c r="O22" s="10"/>
      <c r="P22" s="10"/>
      <c r="Q22" s="10"/>
      <c r="R22" s="10"/>
      <c r="S22" s="10"/>
    </row>
    <row r="23" spans="1:19" s="28" customFormat="1" ht="17.100000000000001" customHeight="1" x14ac:dyDescent="0.25">
      <c r="A23" s="29"/>
      <c r="B23" s="29"/>
      <c r="C23" s="136" t="s">
        <v>164</v>
      </c>
      <c r="D23" s="137"/>
      <c r="E23" s="138">
        <f>D132</f>
        <v>0</v>
      </c>
      <c r="F23" s="12"/>
      <c r="G23" s="10"/>
      <c r="H23" s="430" t="s">
        <v>193</v>
      </c>
      <c r="I23" s="431"/>
      <c r="J23" s="111">
        <f>C127+C128+C129+C130+C131</f>
        <v>0</v>
      </c>
      <c r="K23" s="10"/>
      <c r="L23" s="10"/>
      <c r="M23" s="10"/>
      <c r="N23" s="10"/>
      <c r="O23" s="10"/>
      <c r="P23" s="10"/>
      <c r="Q23" s="10"/>
      <c r="R23" s="10"/>
      <c r="S23" s="10"/>
    </row>
    <row r="24" spans="1:19" s="28" customFormat="1" ht="17.100000000000001" customHeight="1" x14ac:dyDescent="0.25">
      <c r="A24" s="29"/>
      <c r="B24" s="29"/>
      <c r="C24" s="136" t="s">
        <v>165</v>
      </c>
      <c r="D24" s="137"/>
      <c r="E24" s="138">
        <f>D145</f>
        <v>0</v>
      </c>
      <c r="F24" s="12"/>
      <c r="G24" s="10"/>
      <c r="H24" s="430" t="s">
        <v>194</v>
      </c>
      <c r="I24" s="431"/>
      <c r="J24" s="111">
        <f>C140+C141+C142+C143+C144</f>
        <v>0</v>
      </c>
      <c r="K24" s="10"/>
      <c r="L24" s="10"/>
      <c r="M24" s="10"/>
      <c r="N24" s="10"/>
      <c r="O24" s="10"/>
      <c r="P24" s="10"/>
      <c r="Q24" s="10"/>
      <c r="R24" s="10"/>
      <c r="S24" s="10"/>
    </row>
    <row r="25" spans="1:19" s="28" customFormat="1" ht="17.100000000000001" customHeight="1" x14ac:dyDescent="0.25">
      <c r="A25" s="29"/>
      <c r="B25" s="29"/>
      <c r="C25" s="136" t="s">
        <v>167</v>
      </c>
      <c r="D25" s="137"/>
      <c r="E25" s="138">
        <f>D159</f>
        <v>0</v>
      </c>
      <c r="F25" s="12"/>
      <c r="G25" s="10"/>
      <c r="H25" s="430" t="s">
        <v>292</v>
      </c>
      <c r="I25" s="431"/>
      <c r="J25" s="111">
        <f>SUM(C154:C158)</f>
        <v>0</v>
      </c>
      <c r="K25" s="10"/>
      <c r="L25" s="10"/>
      <c r="M25" s="10"/>
      <c r="N25" s="10"/>
      <c r="O25" s="10"/>
      <c r="P25" s="10"/>
      <c r="Q25" s="10"/>
      <c r="R25" s="10"/>
      <c r="S25" s="10"/>
    </row>
    <row r="26" spans="1:19" s="28" customFormat="1" ht="17.100000000000001" customHeight="1" thickBot="1" x14ac:dyDescent="0.3">
      <c r="A26" s="29"/>
      <c r="B26" s="29"/>
      <c r="C26" s="136" t="s">
        <v>166</v>
      </c>
      <c r="D26" s="137"/>
      <c r="E26" s="138">
        <f>D172</f>
        <v>0</v>
      </c>
      <c r="F26" s="12"/>
      <c r="G26" s="10"/>
      <c r="H26" s="432" t="s">
        <v>293</v>
      </c>
      <c r="I26" s="433"/>
      <c r="J26" s="112">
        <f>SUM(C167:C171)</f>
        <v>0</v>
      </c>
      <c r="K26" s="10"/>
      <c r="L26" s="10"/>
      <c r="M26" s="10"/>
      <c r="N26" s="10"/>
      <c r="O26" s="10"/>
      <c r="P26" s="10"/>
      <c r="Q26" s="10"/>
      <c r="R26" s="10"/>
      <c r="S26" s="10"/>
    </row>
    <row r="27" spans="1:19" s="28" customFormat="1" ht="27.75" customHeight="1" thickBot="1" x14ac:dyDescent="0.3">
      <c r="A27" s="29"/>
      <c r="B27" s="29"/>
      <c r="C27" s="391" t="s">
        <v>39</v>
      </c>
      <c r="D27" s="392"/>
      <c r="E27" s="307">
        <f>SUM(E17:E26)</f>
        <v>3935.9803999999999</v>
      </c>
      <c r="F27" s="12"/>
      <c r="G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s="28" customFormat="1" ht="17.100000000000001" customHeight="1" x14ac:dyDescent="0.25">
      <c r="A28" s="29"/>
      <c r="B28" s="29"/>
      <c r="F28" s="12"/>
      <c r="G28" s="10"/>
      <c r="H28" s="120"/>
      <c r="I28" s="120"/>
      <c r="J28" s="1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s="28" customFormat="1" ht="23.45" customHeight="1" x14ac:dyDescent="0.25">
      <c r="A29" s="29"/>
      <c r="B29" s="29"/>
      <c r="F29" s="12"/>
      <c r="G29" s="10"/>
      <c r="H29" s="410"/>
      <c r="I29" s="4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s="28" customFormat="1" ht="14.1" customHeight="1" x14ac:dyDescent="0.25">
      <c r="A30" s="29"/>
      <c r="B30" s="29"/>
      <c r="C30" s="29"/>
      <c r="D30" s="12"/>
      <c r="E30" s="12"/>
      <c r="F30" s="1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s="28" customFormat="1" ht="14.1" customHeight="1" x14ac:dyDescent="0.25">
      <c r="A31" s="29"/>
      <c r="B31" s="29"/>
      <c r="C31" s="29"/>
      <c r="D31" s="12"/>
      <c r="E31" s="12"/>
      <c r="F31" s="1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s="28" customFormat="1" ht="14.1" customHeight="1" x14ac:dyDescent="0.25">
      <c r="A32" s="29"/>
      <c r="B32" s="29"/>
      <c r="C32" s="29"/>
      <c r="D32" s="12"/>
      <c r="E32" s="12"/>
      <c r="F32" s="1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20" s="28" customFormat="1" ht="14.1" customHeight="1" x14ac:dyDescent="0.25">
      <c r="A33" s="29"/>
      <c r="B33" s="29"/>
      <c r="C33" s="29"/>
      <c r="D33" s="12"/>
      <c r="E33" s="12"/>
      <c r="F33" s="1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20" ht="28.5" customHeight="1" x14ac:dyDescent="0.25">
      <c r="A34" s="135" t="s">
        <v>18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10"/>
      <c r="P34" s="10"/>
      <c r="Q34" s="10"/>
      <c r="R34" s="10"/>
      <c r="S34" s="10"/>
    </row>
    <row r="36" spans="1:20" ht="15.75" thickBot="1" x14ac:dyDescent="0.3"/>
    <row r="37" spans="1:20" s="30" customFormat="1" ht="36.6" customHeight="1" x14ac:dyDescent="0.25">
      <c r="A37" s="388" t="s">
        <v>30</v>
      </c>
      <c r="B37" s="389"/>
      <c r="C37" s="399" t="s">
        <v>31</v>
      </c>
      <c r="D37" s="400"/>
      <c r="E37" s="400"/>
      <c r="F37" s="390"/>
      <c r="G37" s="387" t="s">
        <v>214</v>
      </c>
      <c r="H37" s="407"/>
      <c r="I37" s="387" t="s">
        <v>72</v>
      </c>
      <c r="J37" s="408"/>
      <c r="K37" s="408"/>
      <c r="L37" s="408"/>
      <c r="M37" s="409"/>
      <c r="N37" s="426" t="s">
        <v>26</v>
      </c>
      <c r="O37" s="427"/>
    </row>
    <row r="38" spans="1:20" ht="44.45" customHeight="1" thickBot="1" x14ac:dyDescent="0.3">
      <c r="A38" s="52" t="s">
        <v>20</v>
      </c>
      <c r="B38" s="104" t="s">
        <v>21</v>
      </c>
      <c r="C38" s="104" t="s">
        <v>33</v>
      </c>
      <c r="D38" s="104" t="s">
        <v>19</v>
      </c>
      <c r="E38" s="104" t="s">
        <v>213</v>
      </c>
      <c r="F38" s="104" t="s">
        <v>172</v>
      </c>
      <c r="G38" s="104" t="s">
        <v>22</v>
      </c>
      <c r="H38" s="104" t="s">
        <v>1</v>
      </c>
      <c r="I38" s="104" t="s">
        <v>23</v>
      </c>
      <c r="J38" s="104" t="s">
        <v>24</v>
      </c>
      <c r="K38" s="207" t="s">
        <v>224</v>
      </c>
      <c r="L38" s="104" t="s">
        <v>217</v>
      </c>
      <c r="M38" s="104" t="s">
        <v>218</v>
      </c>
      <c r="N38" s="428"/>
      <c r="O38" s="429"/>
    </row>
    <row r="39" spans="1:20" ht="22.5" customHeight="1" x14ac:dyDescent="0.25">
      <c r="A39" s="48" t="s">
        <v>301</v>
      </c>
      <c r="B39" s="106" t="s">
        <v>301</v>
      </c>
      <c r="C39" s="106">
        <v>100</v>
      </c>
      <c r="D39" s="106">
        <v>2</v>
      </c>
      <c r="E39" s="106" t="s">
        <v>51</v>
      </c>
      <c r="F39" s="146" t="s">
        <v>51</v>
      </c>
      <c r="G39" s="49">
        <v>0.5</v>
      </c>
      <c r="H39" s="49">
        <v>0</v>
      </c>
      <c r="I39" s="106" t="s">
        <v>51</v>
      </c>
      <c r="J39" s="106" t="s">
        <v>51</v>
      </c>
      <c r="K39" s="146" t="s">
        <v>50</v>
      </c>
      <c r="L39" s="49">
        <v>0.5</v>
      </c>
      <c r="M39" s="49">
        <v>0.5</v>
      </c>
      <c r="N39" s="422">
        <f>IF(B39="","",'calcul haies'!Q21)</f>
        <v>2631.94</v>
      </c>
      <c r="O39" s="423"/>
    </row>
    <row r="40" spans="1:20" ht="22.5" customHeight="1" x14ac:dyDescent="0.25">
      <c r="A40" s="48"/>
      <c r="B40" s="146"/>
      <c r="C40" s="146"/>
      <c r="D40" s="146"/>
      <c r="E40" s="146"/>
      <c r="F40" s="146"/>
      <c r="G40" s="49"/>
      <c r="H40" s="49"/>
      <c r="I40" s="146"/>
      <c r="J40" s="146"/>
      <c r="K40" s="146"/>
      <c r="L40" s="49"/>
      <c r="M40" s="49"/>
      <c r="N40" s="424" t="str">
        <f>IF(B40="","",'calcul haies'!Q22)</f>
        <v/>
      </c>
      <c r="O40" s="425"/>
    </row>
    <row r="41" spans="1:20" ht="22.5" customHeight="1" x14ac:dyDescent="0.25">
      <c r="A41" s="48"/>
      <c r="B41" s="146"/>
      <c r="C41" s="146"/>
      <c r="D41" s="146"/>
      <c r="E41" s="146"/>
      <c r="F41" s="146"/>
      <c r="G41" s="49"/>
      <c r="H41" s="49"/>
      <c r="I41" s="146"/>
      <c r="J41" s="146"/>
      <c r="K41" s="146"/>
      <c r="L41" s="49"/>
      <c r="M41" s="49"/>
      <c r="N41" s="424" t="str">
        <f>IF(B41="","",'calcul haies'!Q23)</f>
        <v/>
      </c>
      <c r="O41" s="425"/>
    </row>
    <row r="42" spans="1:20" ht="22.5" customHeight="1" x14ac:dyDescent="0.25">
      <c r="A42" s="48"/>
      <c r="B42" s="146"/>
      <c r="C42" s="146"/>
      <c r="D42" s="146"/>
      <c r="E42" s="146"/>
      <c r="F42" s="146"/>
      <c r="G42" s="49"/>
      <c r="H42" s="49"/>
      <c r="I42" s="146"/>
      <c r="J42" s="146"/>
      <c r="K42" s="146"/>
      <c r="L42" s="49"/>
      <c r="M42" s="49"/>
      <c r="N42" s="424" t="str">
        <f>IF(B42="","",'calcul haies'!Q24)</f>
        <v/>
      </c>
      <c r="O42" s="425"/>
    </row>
    <row r="43" spans="1:20" ht="22.5" customHeight="1" x14ac:dyDescent="0.25">
      <c r="A43" s="48"/>
      <c r="B43" s="146"/>
      <c r="C43" s="146"/>
      <c r="D43" s="146"/>
      <c r="E43" s="146"/>
      <c r="F43" s="146"/>
      <c r="G43" s="49"/>
      <c r="H43" s="49"/>
      <c r="I43" s="146"/>
      <c r="J43" s="146"/>
      <c r="K43" s="146"/>
      <c r="L43" s="49"/>
      <c r="M43" s="49"/>
      <c r="N43" s="424" t="str">
        <f>IF(B43="","",'calcul haies'!Q25)</f>
        <v/>
      </c>
      <c r="O43" s="425"/>
      <c r="P43" s="376"/>
      <c r="Q43" s="377"/>
      <c r="R43" s="377"/>
      <c r="S43" s="377"/>
      <c r="T43" s="377"/>
    </row>
    <row r="44" spans="1:20" ht="22.5" customHeight="1" thickBot="1" x14ac:dyDescent="0.3">
      <c r="A44" s="48"/>
      <c r="B44" s="146"/>
      <c r="C44" s="146"/>
      <c r="D44" s="146"/>
      <c r="E44" s="146"/>
      <c r="F44" s="146"/>
      <c r="G44" s="49"/>
      <c r="H44" s="49"/>
      <c r="I44" s="146"/>
      <c r="J44" s="146"/>
      <c r="K44" s="146"/>
      <c r="L44" s="49"/>
      <c r="M44" s="49"/>
      <c r="N44" s="440" t="str">
        <f>IF(B44="","",'calcul haies'!Q26)</f>
        <v/>
      </c>
      <c r="O44" s="441"/>
    </row>
    <row r="45" spans="1:20" ht="19.5" customHeight="1" thickBot="1" x14ac:dyDescent="0.3">
      <c r="A45" s="221" t="s">
        <v>39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3"/>
      <c r="N45" s="442">
        <f>SUM(N39:N44)</f>
        <v>2631.94</v>
      </c>
      <c r="O45" s="443"/>
    </row>
    <row r="50" spans="1:14" ht="28.5" customHeight="1" x14ac:dyDescent="0.25">
      <c r="A50" s="135" t="s">
        <v>29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2" spans="1:14" ht="15.75" thickBot="1" x14ac:dyDescent="0.3"/>
    <row r="53" spans="1:14" ht="45.6" customHeight="1" x14ac:dyDescent="0.25">
      <c r="A53" s="388" t="s">
        <v>30</v>
      </c>
      <c r="B53" s="389"/>
      <c r="C53" s="399" t="s">
        <v>31</v>
      </c>
      <c r="D53" s="400"/>
      <c r="E53" s="385"/>
      <c r="F53" s="439" t="s">
        <v>234</v>
      </c>
      <c r="G53" s="408"/>
      <c r="H53" s="408"/>
      <c r="I53" s="409"/>
      <c r="J53" s="405" t="s">
        <v>76</v>
      </c>
      <c r="K53" s="434" t="s">
        <v>85</v>
      </c>
      <c r="L53" s="434" t="s">
        <v>240</v>
      </c>
      <c r="M53" s="436" t="s">
        <v>26</v>
      </c>
    </row>
    <row r="54" spans="1:14" ht="45.75" thickBot="1" x14ac:dyDescent="0.3">
      <c r="A54" s="52" t="s">
        <v>20</v>
      </c>
      <c r="B54" s="104" t="s">
        <v>32</v>
      </c>
      <c r="C54" s="104" t="s">
        <v>33</v>
      </c>
      <c r="D54" s="104" t="s">
        <v>89</v>
      </c>
      <c r="E54" s="208" t="s">
        <v>229</v>
      </c>
      <c r="F54" s="52" t="s">
        <v>235</v>
      </c>
      <c r="G54" s="90" t="s">
        <v>236</v>
      </c>
      <c r="H54" s="230" t="s">
        <v>237</v>
      </c>
      <c r="I54" s="208" t="s">
        <v>238</v>
      </c>
      <c r="J54" s="406"/>
      <c r="K54" s="435"/>
      <c r="L54" s="435"/>
      <c r="M54" s="437"/>
    </row>
    <row r="55" spans="1:14" ht="22.5" customHeight="1" x14ac:dyDescent="0.25">
      <c r="A55" s="45">
        <v>2</v>
      </c>
      <c r="B55" s="46">
        <v>2</v>
      </c>
      <c r="C55" s="46">
        <v>200</v>
      </c>
      <c r="D55" s="46">
        <v>52</v>
      </c>
      <c r="E55" s="66">
        <v>10</v>
      </c>
      <c r="F55" s="163">
        <v>41</v>
      </c>
      <c r="G55" s="163">
        <v>0</v>
      </c>
      <c r="H55" s="163">
        <v>30</v>
      </c>
      <c r="I55" s="163">
        <v>1</v>
      </c>
      <c r="J55" s="46" t="s">
        <v>51</v>
      </c>
      <c r="K55" s="206" t="s">
        <v>50</v>
      </c>
      <c r="L55" s="93">
        <v>0.42</v>
      </c>
      <c r="M55" s="113">
        <f>IF(B55="","",'calcul AIP'!Q20)</f>
        <v>1304.0403999999999</v>
      </c>
    </row>
    <row r="56" spans="1:14" ht="22.5" customHeight="1" x14ac:dyDescent="0.25">
      <c r="A56" s="44"/>
      <c r="B56" s="31"/>
      <c r="C56" s="31"/>
      <c r="D56" s="31"/>
      <c r="E56" s="65"/>
      <c r="F56" s="158"/>
      <c r="G56" s="158"/>
      <c r="H56" s="158"/>
      <c r="I56" s="158"/>
      <c r="J56" s="31"/>
      <c r="K56" s="203"/>
      <c r="L56" s="93"/>
      <c r="M56" s="114" t="str">
        <f>IF(B56="","",'calcul AIP'!Q21)</f>
        <v/>
      </c>
    </row>
    <row r="57" spans="1:14" ht="22.5" customHeight="1" x14ac:dyDescent="0.25">
      <c r="A57" s="44"/>
      <c r="B57" s="31"/>
      <c r="C57" s="31"/>
      <c r="D57" s="31"/>
      <c r="E57" s="65"/>
      <c r="F57" s="158"/>
      <c r="G57" s="158"/>
      <c r="H57" s="158"/>
      <c r="I57" s="158"/>
      <c r="J57" s="31"/>
      <c r="K57" s="203"/>
      <c r="L57" s="94"/>
      <c r="M57" s="114" t="str">
        <f>IF(B57="","",'calcul AIP'!Q22)</f>
        <v/>
      </c>
    </row>
    <row r="58" spans="1:14" ht="22.5" customHeight="1" x14ac:dyDescent="0.25">
      <c r="A58" s="44"/>
      <c r="B58" s="31"/>
      <c r="C58" s="31"/>
      <c r="D58" s="31"/>
      <c r="E58" s="65"/>
      <c r="F58" s="158"/>
      <c r="G58" s="158"/>
      <c r="H58" s="158"/>
      <c r="I58" s="158"/>
      <c r="J58" s="31"/>
      <c r="K58" s="203"/>
      <c r="L58" s="94"/>
      <c r="M58" s="114" t="str">
        <f>IF(B58="","",'calcul AIP'!Q23)</f>
        <v/>
      </c>
    </row>
    <row r="59" spans="1:14" ht="22.5" customHeight="1" thickBot="1" x14ac:dyDescent="0.3">
      <c r="A59" s="96"/>
      <c r="B59" s="96"/>
      <c r="C59" s="96"/>
      <c r="D59" s="96"/>
      <c r="E59" s="96"/>
      <c r="F59" s="231"/>
      <c r="G59" s="231"/>
      <c r="H59" s="231"/>
      <c r="I59" s="231"/>
      <c r="J59" s="96"/>
      <c r="K59" s="204"/>
      <c r="L59" s="98"/>
      <c r="M59" s="115" t="str">
        <f>IF(B59="","",'calcul AIP'!Q24)</f>
        <v/>
      </c>
    </row>
    <row r="60" spans="1:14" ht="20.45" customHeight="1" thickBot="1" x14ac:dyDescent="0.3">
      <c r="A60" s="224" t="s">
        <v>39</v>
      </c>
      <c r="B60" s="225"/>
      <c r="C60" s="225"/>
      <c r="D60" s="225"/>
      <c r="E60" s="225"/>
      <c r="F60" s="225"/>
      <c r="G60" s="226"/>
      <c r="H60" s="228"/>
      <c r="I60" s="229"/>
      <c r="J60" s="227"/>
      <c r="K60" s="225"/>
      <c r="L60" s="226"/>
      <c r="M60" s="116">
        <f>SUM(M55:M59)</f>
        <v>1304.0403999999999</v>
      </c>
    </row>
    <row r="65" spans="1:14" ht="33" customHeight="1" x14ac:dyDescent="0.25">
      <c r="A65" s="135" t="s">
        <v>96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</row>
    <row r="66" spans="1:14" x14ac:dyDescent="0.25">
      <c r="A66" s="14"/>
    </row>
    <row r="68" spans="1:14" ht="15.75" thickBot="1" x14ac:dyDescent="0.3">
      <c r="I68" s="78"/>
      <c r="J68" s="78"/>
    </row>
    <row r="69" spans="1:14" ht="79.5" customHeight="1" x14ac:dyDescent="0.25">
      <c r="A69" s="384" t="s">
        <v>30</v>
      </c>
      <c r="B69" s="390"/>
      <c r="C69" s="252" t="s">
        <v>31</v>
      </c>
      <c r="D69" s="386" t="s">
        <v>214</v>
      </c>
      <c r="E69" s="387"/>
      <c r="F69" s="426" t="s">
        <v>26</v>
      </c>
      <c r="G69" s="427"/>
      <c r="H69" s="78"/>
    </row>
    <row r="70" spans="1:14" ht="45.75" thickBot="1" x14ac:dyDescent="0.3">
      <c r="A70" s="52" t="s">
        <v>20</v>
      </c>
      <c r="B70" s="67" t="s">
        <v>32</v>
      </c>
      <c r="C70" s="67" t="s">
        <v>262</v>
      </c>
      <c r="D70" s="67" t="s">
        <v>87</v>
      </c>
      <c r="E70" s="68" t="s">
        <v>88</v>
      </c>
      <c r="F70" s="428"/>
      <c r="G70" s="429"/>
      <c r="H70" s="88"/>
    </row>
    <row r="71" spans="1:14" ht="27.6" customHeight="1" x14ac:dyDescent="0.25">
      <c r="A71" s="45"/>
      <c r="B71" s="66"/>
      <c r="C71" s="66"/>
      <c r="D71" s="47"/>
      <c r="E71" s="93"/>
      <c r="F71" s="422" t="str">
        <f>IF(A71="","",'calcul BOS'!K22)</f>
        <v/>
      </c>
      <c r="G71" s="423"/>
    </row>
    <row r="72" spans="1:14" ht="27.6" customHeight="1" x14ac:dyDescent="0.25">
      <c r="A72" s="44"/>
      <c r="B72" s="65"/>
      <c r="C72" s="65"/>
      <c r="D72" s="32"/>
      <c r="E72" s="94"/>
      <c r="F72" s="424"/>
      <c r="G72" s="425"/>
    </row>
    <row r="73" spans="1:14" ht="27.6" customHeight="1" x14ac:dyDescent="0.25">
      <c r="A73" s="119"/>
      <c r="B73" s="65"/>
      <c r="C73" s="65"/>
      <c r="D73" s="32"/>
      <c r="E73" s="94"/>
      <c r="F73" s="424"/>
      <c r="G73" s="425"/>
    </row>
    <row r="74" spans="1:14" ht="27.6" customHeight="1" x14ac:dyDescent="0.25">
      <c r="A74" s="44"/>
      <c r="B74" s="65"/>
      <c r="C74" s="65"/>
      <c r="D74" s="32"/>
      <c r="E74" s="94"/>
      <c r="F74" s="424" t="str">
        <f>IF(A74="","",'calcul BOS'!K25)</f>
        <v/>
      </c>
      <c r="G74" s="425"/>
    </row>
    <row r="75" spans="1:14" ht="27.6" customHeight="1" thickBot="1" x14ac:dyDescent="0.3">
      <c r="A75" s="95"/>
      <c r="B75" s="96"/>
      <c r="C75" s="96"/>
      <c r="D75" s="97"/>
      <c r="E75" s="98"/>
      <c r="F75" s="440" t="str">
        <f>IF(A75="","",'calcul BOS'!K26)</f>
        <v/>
      </c>
      <c r="G75" s="441"/>
    </row>
    <row r="76" spans="1:14" ht="24.6" customHeight="1" thickBot="1" x14ac:dyDescent="0.3">
      <c r="A76" s="444" t="s">
        <v>39</v>
      </c>
      <c r="B76" s="445"/>
      <c r="C76" s="445"/>
      <c r="D76" s="445"/>
      <c r="E76" s="446"/>
      <c r="F76" s="442">
        <f>SUM(F71:F75)</f>
        <v>0</v>
      </c>
      <c r="G76" s="443"/>
    </row>
    <row r="80" spans="1:14" ht="29.1" customHeight="1" x14ac:dyDescent="0.25">
      <c r="A80" s="135" t="s">
        <v>100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</row>
    <row r="81" spans="1:21" x14ac:dyDescent="0.25">
      <c r="A81" s="14"/>
    </row>
    <row r="83" spans="1:21" ht="15.75" thickBot="1" x14ac:dyDescent="0.3">
      <c r="J83" s="85"/>
    </row>
    <row r="84" spans="1:21" ht="37.5" customHeight="1" x14ac:dyDescent="0.25">
      <c r="A84" s="384" t="s">
        <v>30</v>
      </c>
      <c r="B84" s="385"/>
      <c r="C84" s="388" t="s">
        <v>31</v>
      </c>
      <c r="D84" s="389"/>
      <c r="E84" s="389"/>
      <c r="F84" s="438"/>
      <c r="G84" s="439" t="s">
        <v>214</v>
      </c>
      <c r="H84" s="409"/>
      <c r="I84" s="439" t="s">
        <v>40</v>
      </c>
      <c r="J84" s="408"/>
      <c r="K84" s="408"/>
      <c r="L84" s="409"/>
      <c r="M84" s="449" t="s">
        <v>26</v>
      </c>
      <c r="N84" s="427"/>
    </row>
    <row r="85" spans="1:21" ht="50.45" customHeight="1" thickBot="1" x14ac:dyDescent="0.3">
      <c r="A85" s="52" t="s">
        <v>20</v>
      </c>
      <c r="B85" s="90" t="s">
        <v>137</v>
      </c>
      <c r="C85" s="52" t="s">
        <v>113</v>
      </c>
      <c r="D85" s="151" t="s">
        <v>33</v>
      </c>
      <c r="E85" s="151" t="s">
        <v>172</v>
      </c>
      <c r="F85" s="90" t="s">
        <v>182</v>
      </c>
      <c r="G85" s="52" t="s">
        <v>87</v>
      </c>
      <c r="H85" s="145" t="s">
        <v>88</v>
      </c>
      <c r="I85" s="262" t="s">
        <v>173</v>
      </c>
      <c r="J85" s="259" t="s">
        <v>23</v>
      </c>
      <c r="K85" s="259" t="s">
        <v>176</v>
      </c>
      <c r="L85" s="268" t="s">
        <v>121</v>
      </c>
      <c r="M85" s="450"/>
      <c r="N85" s="429"/>
    </row>
    <row r="86" spans="1:21" ht="29.1" customHeight="1" x14ac:dyDescent="0.25">
      <c r="A86" s="45"/>
      <c r="B86" s="91"/>
      <c r="C86" s="45"/>
      <c r="D86" s="163"/>
      <c r="E86" s="146"/>
      <c r="F86" s="164"/>
      <c r="G86" s="263"/>
      <c r="H86" s="264"/>
      <c r="I86" s="50"/>
      <c r="J86" s="147"/>
      <c r="K86" s="147"/>
      <c r="L86" s="159"/>
      <c r="M86" s="451" t="str">
        <f>IF(B86="","",'calcul RNA'!P23)</f>
        <v/>
      </c>
      <c r="N86" s="452"/>
    </row>
    <row r="87" spans="1:21" ht="29.1" customHeight="1" x14ac:dyDescent="0.25">
      <c r="A87" s="44"/>
      <c r="B87" s="92"/>
      <c r="C87" s="119"/>
      <c r="D87" s="158"/>
      <c r="E87" s="147"/>
      <c r="F87" s="159"/>
      <c r="G87" s="100"/>
      <c r="H87" s="265"/>
      <c r="I87" s="50"/>
      <c r="J87" s="147"/>
      <c r="K87" s="147"/>
      <c r="L87" s="159"/>
      <c r="M87" s="453" t="str">
        <f>IF(B87="","",'calcul RNA'!P24)</f>
        <v/>
      </c>
      <c r="N87" s="454"/>
    </row>
    <row r="88" spans="1:21" ht="29.1" customHeight="1" x14ac:dyDescent="0.25">
      <c r="A88" s="119"/>
      <c r="B88" s="92"/>
      <c r="C88" s="119"/>
      <c r="D88" s="158"/>
      <c r="E88" s="147"/>
      <c r="F88" s="159"/>
      <c r="G88" s="100"/>
      <c r="H88" s="265"/>
      <c r="I88" s="50"/>
      <c r="J88" s="147"/>
      <c r="K88" s="147"/>
      <c r="L88" s="159"/>
      <c r="M88" s="453" t="str">
        <f>IF(B88="","",'calcul RNA'!P25)</f>
        <v/>
      </c>
      <c r="N88" s="454"/>
      <c r="O88" s="376"/>
      <c r="P88" s="377"/>
      <c r="Q88" s="377"/>
      <c r="R88" s="377"/>
      <c r="S88" s="377"/>
      <c r="T88" s="377"/>
      <c r="U88" s="377"/>
    </row>
    <row r="89" spans="1:21" ht="29.1" customHeight="1" x14ac:dyDescent="0.25">
      <c r="A89" s="44"/>
      <c r="B89" s="92"/>
      <c r="C89" s="119"/>
      <c r="D89" s="158"/>
      <c r="E89" s="147"/>
      <c r="F89" s="159"/>
      <c r="G89" s="100"/>
      <c r="H89" s="265"/>
      <c r="I89" s="50"/>
      <c r="J89" s="147"/>
      <c r="K89" s="147"/>
      <c r="L89" s="159"/>
      <c r="M89" s="453" t="str">
        <f>IF(B89="","",'calcul RNA'!P26)</f>
        <v/>
      </c>
      <c r="N89" s="454"/>
    </row>
    <row r="90" spans="1:21" ht="29.1" customHeight="1" x14ac:dyDescent="0.25">
      <c r="A90" s="95"/>
      <c r="B90" s="99"/>
      <c r="C90" s="119"/>
      <c r="D90" s="158"/>
      <c r="E90" s="147"/>
      <c r="F90" s="159"/>
      <c r="G90" s="100"/>
      <c r="H90" s="265"/>
      <c r="I90" s="50"/>
      <c r="J90" s="147"/>
      <c r="K90" s="147"/>
      <c r="L90" s="159"/>
      <c r="M90" s="453" t="str">
        <f>IF(B90="","",'calcul RNA'!P27)</f>
        <v/>
      </c>
      <c r="N90" s="454"/>
    </row>
    <row r="91" spans="1:21" ht="29.1" customHeight="1" thickBot="1" x14ac:dyDescent="0.3">
      <c r="A91" s="95"/>
      <c r="B91" s="99"/>
      <c r="C91" s="160"/>
      <c r="D91" s="161"/>
      <c r="E91" s="148"/>
      <c r="F91" s="162"/>
      <c r="G91" s="101"/>
      <c r="H91" s="266"/>
      <c r="I91" s="102"/>
      <c r="J91" s="148"/>
      <c r="K91" s="148"/>
      <c r="L91" s="162"/>
      <c r="M91" s="267"/>
      <c r="N91" s="182"/>
    </row>
    <row r="92" spans="1:21" ht="29.1" customHeight="1" thickBot="1" x14ac:dyDescent="0.3">
      <c r="A92" s="381" t="s">
        <v>39</v>
      </c>
      <c r="B92" s="382"/>
      <c r="C92" s="382"/>
      <c r="D92" s="382"/>
      <c r="E92" s="382"/>
      <c r="F92" s="382"/>
      <c r="G92" s="382"/>
      <c r="H92" s="382"/>
      <c r="I92" s="382"/>
      <c r="J92" s="382"/>
      <c r="K92" s="382"/>
      <c r="L92" s="383"/>
      <c r="M92" s="447">
        <f>SUM(M86:N90)</f>
        <v>0</v>
      </c>
      <c r="N92" s="448"/>
    </row>
    <row r="93" spans="1:21" x14ac:dyDescent="0.25">
      <c r="J93" s="78"/>
    </row>
    <row r="94" spans="1:21" x14ac:dyDescent="0.25">
      <c r="G94" s="293"/>
      <c r="J94" s="78"/>
    </row>
    <row r="95" spans="1:21" ht="27.95" customHeight="1" x14ac:dyDescent="0.25">
      <c r="A95" s="135" t="s">
        <v>109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21" x14ac:dyDescent="0.25">
      <c r="A96" s="14"/>
    </row>
    <row r="97" spans="1:14" ht="15.75" thickBot="1" x14ac:dyDescent="0.3">
      <c r="J97" s="85"/>
    </row>
    <row r="98" spans="1:14" ht="30" customHeight="1" thickBot="1" x14ac:dyDescent="0.3">
      <c r="A98" s="384" t="s">
        <v>30</v>
      </c>
      <c r="B98" s="385"/>
      <c r="C98" s="397" t="s">
        <v>135</v>
      </c>
      <c r="D98" s="398"/>
      <c r="E98" s="379" t="s">
        <v>26</v>
      </c>
    </row>
    <row r="99" spans="1:14" ht="45" customHeight="1" thickBot="1" x14ac:dyDescent="0.3">
      <c r="A99" s="52" t="s">
        <v>20</v>
      </c>
      <c r="B99" s="90" t="s">
        <v>137</v>
      </c>
      <c r="C99" s="177" t="s">
        <v>192</v>
      </c>
      <c r="D99" s="180" t="s">
        <v>187</v>
      </c>
      <c r="E99" s="380"/>
    </row>
    <row r="100" spans="1:14" ht="27.95" customHeight="1" x14ac:dyDescent="0.25">
      <c r="A100" s="45"/>
      <c r="B100" s="91"/>
      <c r="C100" s="178"/>
      <c r="D100" s="167"/>
      <c r="E100" s="170" t="str">
        <f>IF(B100="","",'calcul BEM'!F14)</f>
        <v/>
      </c>
    </row>
    <row r="101" spans="1:14" ht="27.95" customHeight="1" x14ac:dyDescent="0.25">
      <c r="A101" s="119"/>
      <c r="B101" s="92"/>
      <c r="C101" s="179"/>
      <c r="D101" s="168"/>
      <c r="E101" s="170" t="str">
        <f>IF(B101="","",'calcul BEM'!F15)</f>
        <v/>
      </c>
    </row>
    <row r="102" spans="1:14" ht="27.95" customHeight="1" x14ac:dyDescent="0.25">
      <c r="A102" s="119"/>
      <c r="B102" s="92"/>
      <c r="C102" s="179"/>
      <c r="D102" s="168"/>
      <c r="E102" s="170" t="str">
        <f>IF(B102="","",'calcul BEM'!F16)</f>
        <v/>
      </c>
    </row>
    <row r="103" spans="1:14" ht="27.95" customHeight="1" x14ac:dyDescent="0.25">
      <c r="A103" s="119"/>
      <c r="B103" s="92"/>
      <c r="C103" s="179"/>
      <c r="D103" s="168"/>
      <c r="E103" s="170" t="str">
        <f>IF(B103="","",'calcul BEM'!F17)</f>
        <v/>
      </c>
    </row>
    <row r="104" spans="1:14" ht="27.95" customHeight="1" thickBot="1" x14ac:dyDescent="0.3">
      <c r="A104" s="95"/>
      <c r="B104" s="99"/>
      <c r="C104" s="181"/>
      <c r="D104" s="169"/>
      <c r="E104" s="171" t="str">
        <f>IF(B104="","",'calcul BEM'!F18)</f>
        <v/>
      </c>
      <c r="H104" s="78"/>
    </row>
    <row r="105" spans="1:14" ht="15.75" thickBot="1" x14ac:dyDescent="0.3">
      <c r="A105" s="381"/>
      <c r="B105" s="382"/>
      <c r="C105" s="382"/>
      <c r="D105" s="383"/>
      <c r="E105" s="172">
        <f>SUM(E100:E104)</f>
        <v>0</v>
      </c>
    </row>
    <row r="109" spans="1:14" ht="24" customHeight="1" x14ac:dyDescent="0.25">
      <c r="A109" s="135" t="s">
        <v>162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25">
      <c r="A110" s="14"/>
    </row>
    <row r="111" spans="1:14" ht="15.75" thickBot="1" x14ac:dyDescent="0.3">
      <c r="J111" s="85"/>
    </row>
    <row r="112" spans="1:14" ht="30" customHeight="1" x14ac:dyDescent="0.25">
      <c r="A112" s="384" t="s">
        <v>30</v>
      </c>
      <c r="B112" s="385"/>
      <c r="C112" s="205" t="s">
        <v>135</v>
      </c>
      <c r="D112" s="379" t="s">
        <v>26</v>
      </c>
    </row>
    <row r="113" spans="1:14" ht="45" customHeight="1" thickBot="1" x14ac:dyDescent="0.3">
      <c r="A113" s="52" t="s">
        <v>20</v>
      </c>
      <c r="B113" s="90" t="s">
        <v>137</v>
      </c>
      <c r="C113" s="177" t="s">
        <v>192</v>
      </c>
      <c r="D113" s="380"/>
    </row>
    <row r="114" spans="1:14" ht="27.95" customHeight="1" x14ac:dyDescent="0.25">
      <c r="A114" s="45"/>
      <c r="B114" s="91"/>
      <c r="C114" s="178"/>
      <c r="D114" s="170" t="str">
        <f>'calcul fascines'!D11</f>
        <v/>
      </c>
    </row>
    <row r="115" spans="1:14" ht="27.95" customHeight="1" x14ac:dyDescent="0.25">
      <c r="A115" s="119"/>
      <c r="B115" s="92"/>
      <c r="C115" s="179"/>
      <c r="D115" s="170" t="str">
        <f>'calcul fascines'!D12</f>
        <v/>
      </c>
    </row>
    <row r="116" spans="1:14" ht="27.95" customHeight="1" x14ac:dyDescent="0.25">
      <c r="A116" s="119"/>
      <c r="B116" s="92"/>
      <c r="C116" s="179"/>
      <c r="D116" s="170" t="str">
        <f>'calcul fascines'!D13</f>
        <v/>
      </c>
    </row>
    <row r="117" spans="1:14" ht="27.95" customHeight="1" x14ac:dyDescent="0.25">
      <c r="A117" s="119"/>
      <c r="B117" s="92"/>
      <c r="C117" s="179"/>
      <c r="D117" s="170" t="str">
        <f>'calcul fascines'!D14</f>
        <v/>
      </c>
    </row>
    <row r="118" spans="1:14" ht="27.95" customHeight="1" thickBot="1" x14ac:dyDescent="0.3">
      <c r="A118" s="95"/>
      <c r="B118" s="99"/>
      <c r="C118" s="181"/>
      <c r="D118" s="170" t="str">
        <f>'calcul fascines'!D15</f>
        <v/>
      </c>
      <c r="G118" s="78"/>
    </row>
    <row r="119" spans="1:14" ht="15.75" thickBot="1" x14ac:dyDescent="0.3">
      <c r="A119" s="185"/>
      <c r="B119" s="186"/>
      <c r="C119" s="186">
        <f>SUM(C114:C118)</f>
        <v>0</v>
      </c>
      <c r="D119" s="172">
        <f>SUM(D114:D118)</f>
        <v>0</v>
      </c>
    </row>
    <row r="122" spans="1:14" ht="24" customHeight="1" x14ac:dyDescent="0.25">
      <c r="A122" s="135" t="s">
        <v>160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1:14" x14ac:dyDescent="0.25">
      <c r="A123" s="14"/>
    </row>
    <row r="124" spans="1:14" ht="15.75" thickBot="1" x14ac:dyDescent="0.3">
      <c r="J124" s="85"/>
    </row>
    <row r="125" spans="1:14" ht="30" customHeight="1" x14ac:dyDescent="0.25">
      <c r="A125" s="384" t="s">
        <v>30</v>
      </c>
      <c r="B125" s="385"/>
      <c r="C125" s="276" t="s">
        <v>135</v>
      </c>
      <c r="D125" s="379" t="s">
        <v>26</v>
      </c>
    </row>
    <row r="126" spans="1:14" ht="39" customHeight="1" thickBot="1" x14ac:dyDescent="0.3">
      <c r="A126" s="52" t="s">
        <v>20</v>
      </c>
      <c r="B126" s="90" t="s">
        <v>137</v>
      </c>
      <c r="C126" s="177" t="s">
        <v>196</v>
      </c>
      <c r="D126" s="380"/>
    </row>
    <row r="127" spans="1:14" ht="28.5" customHeight="1" x14ac:dyDescent="0.25">
      <c r="A127" s="45"/>
      <c r="B127" s="91"/>
      <c r="C127" s="178"/>
      <c r="D127" s="170" t="str">
        <f>IF(B127="","",'calcul CMA'!D20)</f>
        <v/>
      </c>
    </row>
    <row r="128" spans="1:14" ht="28.5" customHeight="1" x14ac:dyDescent="0.25">
      <c r="A128" s="119"/>
      <c r="B128" s="92"/>
      <c r="C128" s="179"/>
      <c r="D128" s="170" t="str">
        <f>IF(B128="","",'calcul CMA'!D21)</f>
        <v/>
      </c>
    </row>
    <row r="129" spans="1:14" ht="28.5" customHeight="1" x14ac:dyDescent="0.25">
      <c r="A129" s="119"/>
      <c r="B129" s="92"/>
      <c r="C129" s="179"/>
      <c r="D129" s="170" t="str">
        <f>IF(B129="","",'calcul CMA'!D22)</f>
        <v/>
      </c>
    </row>
    <row r="130" spans="1:14" ht="28.5" customHeight="1" x14ac:dyDescent="0.25">
      <c r="A130" s="119"/>
      <c r="B130" s="92"/>
      <c r="C130" s="179"/>
      <c r="D130" s="170" t="str">
        <f>IF(B130="","",'calcul CMA'!D23)</f>
        <v/>
      </c>
    </row>
    <row r="131" spans="1:14" ht="26.45" customHeight="1" thickBot="1" x14ac:dyDescent="0.3">
      <c r="A131" s="95"/>
      <c r="B131" s="99"/>
      <c r="C131" s="181"/>
      <c r="D131" s="170" t="str">
        <f>IF(B131="","",'calcul CMA'!D24)</f>
        <v/>
      </c>
    </row>
    <row r="132" spans="1:14" ht="15.75" thickBot="1" x14ac:dyDescent="0.3">
      <c r="A132" s="185"/>
      <c r="B132" s="186"/>
      <c r="C132" s="186"/>
      <c r="D132" s="172">
        <f>SUM(D127:D131)</f>
        <v>0</v>
      </c>
    </row>
    <row r="135" spans="1:14" ht="24" customHeight="1" x14ac:dyDescent="0.25">
      <c r="A135" s="135" t="s">
        <v>161</v>
      </c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1:14" x14ac:dyDescent="0.25">
      <c r="A136" s="14"/>
    </row>
    <row r="137" spans="1:14" ht="15.75" thickBot="1" x14ac:dyDescent="0.3">
      <c r="A137" s="14"/>
    </row>
    <row r="138" spans="1:14" ht="33" customHeight="1" x14ac:dyDescent="0.25">
      <c r="A138" s="384" t="s">
        <v>30</v>
      </c>
      <c r="B138" s="385"/>
      <c r="C138" s="195" t="s">
        <v>135</v>
      </c>
      <c r="D138" s="379" t="s">
        <v>26</v>
      </c>
    </row>
    <row r="139" spans="1:14" ht="48.6" customHeight="1" thickBot="1" x14ac:dyDescent="0.3">
      <c r="A139" s="52" t="s">
        <v>20</v>
      </c>
      <c r="B139" s="90" t="s">
        <v>137</v>
      </c>
      <c r="C139" s="177" t="s">
        <v>196</v>
      </c>
      <c r="D139" s="380"/>
    </row>
    <row r="140" spans="1:14" ht="27.95" customHeight="1" x14ac:dyDescent="0.25">
      <c r="A140" s="45"/>
      <c r="B140" s="91"/>
      <c r="C140" s="178"/>
      <c r="D140" s="170" t="str">
        <f>'calcul RMA'!D20</f>
        <v/>
      </c>
    </row>
    <row r="141" spans="1:14" ht="27.95" customHeight="1" x14ac:dyDescent="0.25">
      <c r="A141" s="119"/>
      <c r="B141" s="92"/>
      <c r="C141" s="179"/>
      <c r="D141" s="170" t="str">
        <f>'calcul RMA'!D21</f>
        <v/>
      </c>
    </row>
    <row r="142" spans="1:14" ht="27.95" customHeight="1" x14ac:dyDescent="0.25">
      <c r="A142" s="119"/>
      <c r="B142" s="92"/>
      <c r="C142" s="179"/>
      <c r="D142" s="170" t="str">
        <f>'calcul RMA'!D22</f>
        <v/>
      </c>
    </row>
    <row r="143" spans="1:14" ht="27.95" customHeight="1" x14ac:dyDescent="0.25">
      <c r="A143" s="119"/>
      <c r="B143" s="92"/>
      <c r="C143" s="179"/>
      <c r="D143" s="170" t="str">
        <f>'calcul RMA'!D23</f>
        <v/>
      </c>
    </row>
    <row r="144" spans="1:14" ht="27.95" customHeight="1" thickBot="1" x14ac:dyDescent="0.3">
      <c r="A144" s="95"/>
      <c r="B144" s="99"/>
      <c r="C144" s="181"/>
      <c r="D144" s="170" t="str">
        <f>'calcul RMA'!D24</f>
        <v/>
      </c>
    </row>
    <row r="145" spans="1:14" ht="15.75" thickBot="1" x14ac:dyDescent="0.3">
      <c r="A145" s="185"/>
      <c r="B145" s="186"/>
      <c r="C145" s="186"/>
      <c r="D145" s="172">
        <f>SUM(D140:D144)</f>
        <v>0</v>
      </c>
    </row>
    <row r="146" spans="1:14" x14ac:dyDescent="0.25">
      <c r="A146" s="14"/>
    </row>
    <row r="147" spans="1:14" x14ac:dyDescent="0.25">
      <c r="A147" s="14"/>
    </row>
    <row r="150" spans="1:14" ht="24" customHeight="1" x14ac:dyDescent="0.25">
      <c r="A150" s="135" t="s">
        <v>270</v>
      </c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1:14" x14ac:dyDescent="0.25">
      <c r="A151" s="14"/>
    </row>
    <row r="152" spans="1:14" ht="15.75" thickBot="1" x14ac:dyDescent="0.3">
      <c r="J152" s="85"/>
    </row>
    <row r="153" spans="1:14" ht="45.75" thickBot="1" x14ac:dyDescent="0.3">
      <c r="A153" s="103" t="s">
        <v>20</v>
      </c>
      <c r="B153" s="242" t="s">
        <v>32</v>
      </c>
      <c r="C153" s="239" t="s">
        <v>257</v>
      </c>
      <c r="D153" s="238" t="s">
        <v>289</v>
      </c>
      <c r="F153" s="78"/>
      <c r="G153" s="88"/>
      <c r="H153" s="89"/>
    </row>
    <row r="154" spans="1:14" ht="28.5" customHeight="1" x14ac:dyDescent="0.25">
      <c r="A154" s="45"/>
      <c r="B154" s="66"/>
      <c r="C154" s="240"/>
      <c r="D154" s="243"/>
    </row>
    <row r="155" spans="1:14" ht="28.5" customHeight="1" x14ac:dyDescent="0.25">
      <c r="A155" s="119"/>
      <c r="B155" s="65"/>
      <c r="C155" s="236"/>
      <c r="D155" s="243"/>
    </row>
    <row r="156" spans="1:14" ht="28.5" customHeight="1" x14ac:dyDescent="0.25">
      <c r="A156" s="119"/>
      <c r="B156" s="65"/>
      <c r="C156" s="236"/>
      <c r="D156" s="243"/>
      <c r="G156" s="78"/>
    </row>
    <row r="157" spans="1:14" ht="28.5" customHeight="1" x14ac:dyDescent="0.25">
      <c r="A157" s="119"/>
      <c r="B157" s="65"/>
      <c r="C157" s="236"/>
      <c r="D157" s="243"/>
      <c r="G157" s="78"/>
    </row>
    <row r="158" spans="1:14" ht="28.5" customHeight="1" thickBot="1" x14ac:dyDescent="0.3">
      <c r="A158" s="95"/>
      <c r="B158" s="244"/>
      <c r="C158" s="237"/>
      <c r="D158" s="243"/>
      <c r="H158" s="78"/>
      <c r="K158" s="78"/>
    </row>
    <row r="159" spans="1:14" ht="26.45" customHeight="1" thickBot="1" x14ac:dyDescent="0.3">
      <c r="A159" s="185"/>
      <c r="B159" s="186"/>
      <c r="C159" s="186"/>
      <c r="D159" s="116">
        <f>SUM(D154:D158)</f>
        <v>0</v>
      </c>
      <c r="H159" s="78"/>
    </row>
    <row r="163" spans="1:14" ht="24" customHeight="1" x14ac:dyDescent="0.25">
      <c r="A163" s="135" t="s">
        <v>290</v>
      </c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1:14" x14ac:dyDescent="0.25">
      <c r="A164" s="14"/>
    </row>
    <row r="165" spans="1:14" ht="15.75" thickBot="1" x14ac:dyDescent="0.3"/>
    <row r="166" spans="1:14" ht="45.75" thickBot="1" x14ac:dyDescent="0.3">
      <c r="A166" s="103" t="s">
        <v>20</v>
      </c>
      <c r="B166" s="242" t="s">
        <v>32</v>
      </c>
      <c r="C166" s="239" t="s">
        <v>257</v>
      </c>
      <c r="D166" s="246" t="s">
        <v>26</v>
      </c>
    </row>
    <row r="167" spans="1:14" ht="27.95" customHeight="1" x14ac:dyDescent="0.25">
      <c r="A167" s="45"/>
      <c r="B167" s="66"/>
      <c r="C167" s="240"/>
      <c r="D167" s="245" t="str">
        <f>'calcul RMU'!D10</f>
        <v/>
      </c>
    </row>
    <row r="168" spans="1:14" ht="27.95" customHeight="1" x14ac:dyDescent="0.25">
      <c r="A168" s="119"/>
      <c r="B168" s="65"/>
      <c r="C168" s="236"/>
      <c r="D168" s="243" t="str">
        <f>'calcul RMU'!D11</f>
        <v/>
      </c>
    </row>
    <row r="169" spans="1:14" ht="27.95" customHeight="1" x14ac:dyDescent="0.25">
      <c r="A169" s="119"/>
      <c r="B169" s="65"/>
      <c r="C169" s="236"/>
      <c r="D169" s="243" t="str">
        <f>'calcul RMU'!D12</f>
        <v/>
      </c>
    </row>
    <row r="170" spans="1:14" ht="27.95" customHeight="1" x14ac:dyDescent="0.25">
      <c r="A170" s="119"/>
      <c r="B170" s="65"/>
      <c r="C170" s="236"/>
      <c r="D170" s="243" t="str">
        <f>'calcul RMU'!D13</f>
        <v/>
      </c>
    </row>
    <row r="171" spans="1:14" ht="27.95" customHeight="1" thickBot="1" x14ac:dyDescent="0.3">
      <c r="A171" s="95"/>
      <c r="B171" s="244"/>
      <c r="C171" s="237"/>
      <c r="D171" s="243" t="str">
        <f>'calcul RMU'!D14</f>
        <v/>
      </c>
    </row>
    <row r="172" spans="1:14" ht="24" customHeight="1" thickBot="1" x14ac:dyDescent="0.3">
      <c r="A172" s="185"/>
      <c r="B172" s="186"/>
      <c r="C172" s="186"/>
      <c r="D172" s="116">
        <f>SUM(D167:D171)</f>
        <v>0</v>
      </c>
    </row>
  </sheetData>
  <mergeCells count="77">
    <mergeCell ref="A125:B125"/>
    <mergeCell ref="D125:D126"/>
    <mergeCell ref="M92:N92"/>
    <mergeCell ref="F72:G72"/>
    <mergeCell ref="F73:G73"/>
    <mergeCell ref="F74:G74"/>
    <mergeCell ref="A112:B112"/>
    <mergeCell ref="D112:D113"/>
    <mergeCell ref="M84:N85"/>
    <mergeCell ref="M86:N86"/>
    <mergeCell ref="M87:N87"/>
    <mergeCell ref="M88:N88"/>
    <mergeCell ref="M89:N89"/>
    <mergeCell ref="M90:N90"/>
    <mergeCell ref="I84:L84"/>
    <mergeCell ref="N41:O41"/>
    <mergeCell ref="N42:O42"/>
    <mergeCell ref="N43:O43"/>
    <mergeCell ref="N44:O44"/>
    <mergeCell ref="N45:O45"/>
    <mergeCell ref="K53:K54"/>
    <mergeCell ref="L53:L54"/>
    <mergeCell ref="M53:M54"/>
    <mergeCell ref="F69:G70"/>
    <mergeCell ref="C84:F84"/>
    <mergeCell ref="G84:H84"/>
    <mergeCell ref="F75:G75"/>
    <mergeCell ref="F76:G76"/>
    <mergeCell ref="F71:G71"/>
    <mergeCell ref="F53:I53"/>
    <mergeCell ref="A76:E76"/>
    <mergeCell ref="H16:I16"/>
    <mergeCell ref="H17:I17"/>
    <mergeCell ref="H18:I18"/>
    <mergeCell ref="N39:O39"/>
    <mergeCell ref="N40:O40"/>
    <mergeCell ref="N37:O38"/>
    <mergeCell ref="H19:I19"/>
    <mergeCell ref="H20:I20"/>
    <mergeCell ref="H21:I21"/>
    <mergeCell ref="H22:I22"/>
    <mergeCell ref="H23:I23"/>
    <mergeCell ref="H24:I24"/>
    <mergeCell ref="H25:I25"/>
    <mergeCell ref="H26:I26"/>
    <mergeCell ref="A138:B138"/>
    <mergeCell ref="D138:D139"/>
    <mergeCell ref="A92:L92"/>
    <mergeCell ref="E2:L2"/>
    <mergeCell ref="E3:L3"/>
    <mergeCell ref="E4:L4"/>
    <mergeCell ref="E5:L5"/>
    <mergeCell ref="D10:H10"/>
    <mergeCell ref="J53:J54"/>
    <mergeCell ref="G37:H37"/>
    <mergeCell ref="I37:M37"/>
    <mergeCell ref="C37:F37"/>
    <mergeCell ref="H29:I29"/>
    <mergeCell ref="A10:C10"/>
    <mergeCell ref="D12:H12"/>
    <mergeCell ref="C17:D17"/>
    <mergeCell ref="P43:T43"/>
    <mergeCell ref="O88:U88"/>
    <mergeCell ref="A12:C12"/>
    <mergeCell ref="E98:E99"/>
    <mergeCell ref="A105:D105"/>
    <mergeCell ref="A98:B98"/>
    <mergeCell ref="D69:E69"/>
    <mergeCell ref="A37:B37"/>
    <mergeCell ref="A69:B69"/>
    <mergeCell ref="C27:D27"/>
    <mergeCell ref="C18:D18"/>
    <mergeCell ref="C16:D16"/>
    <mergeCell ref="A84:B84"/>
    <mergeCell ref="C98:D98"/>
    <mergeCell ref="A53:B53"/>
    <mergeCell ref="C53:E53"/>
  </mergeCells>
  <dataValidations count="1">
    <dataValidation allowBlank="1" showInputMessage="1" showErrorMessage="1" sqref="L39:M44" xr:uid="{00000000-0002-0000-0100-000000000000}"/>
  </dataValidations>
  <pageMargins left="0.7" right="0.7" top="0.75" bottom="0.75" header="0.3" footer="0.3"/>
  <pageSetup paperSize="9" scale="3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'calcul AIP'!$B$31:$B$32</xm:f>
          </x14:formula1>
          <xm:sqref>J55:K59</xm:sqref>
        </x14:dataValidation>
        <x14:dataValidation type="list" allowBlank="1" showInputMessage="1" showErrorMessage="1" xr:uid="{00000000-0002-0000-0100-000002000000}">
          <x14:formula1>
            <xm:f>'calcul haies'!$A$34:$A$35</xm:f>
          </x14:formula1>
          <xm:sqref>I39:K44 E39:F44</xm:sqref>
        </x14:dataValidation>
        <x14:dataValidation type="list" allowBlank="1" showInputMessage="1" showErrorMessage="1" xr:uid="{00000000-0002-0000-0100-000003000000}">
          <x14:formula1>
            <xm:f>'calcul haies'!$B$34:$B$35</xm:f>
          </x14:formula1>
          <xm:sqref>D39:D44</xm:sqref>
        </x14:dataValidation>
        <x14:dataValidation type="list" allowBlank="1" showInputMessage="1" showErrorMessage="1" xr:uid="{00000000-0002-0000-0100-000004000000}">
          <x14:formula1>
            <xm:f>'calcul RNA'!$A$34:$A$35</xm:f>
          </x14:formula1>
          <xm:sqref>C86:C91</xm:sqref>
        </x14:dataValidation>
        <x14:dataValidation type="list" allowBlank="1" showInputMessage="1" showErrorMessage="1" xr:uid="{00000000-0002-0000-0100-000005000000}">
          <x14:formula1>
            <xm:f>'calcul RNA'!$B$34:$B$35</xm:f>
          </x14:formula1>
          <xm:sqref>E86:F91 I86:L91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40"/>
  <sheetViews>
    <sheetView showGridLines="0" topLeftCell="I1" zoomScale="80" zoomScaleNormal="80" workbookViewId="0">
      <selection activeCell="B10" sqref="B10"/>
    </sheetView>
  </sheetViews>
  <sheetFormatPr baseColWidth="10" defaultRowHeight="15" x14ac:dyDescent="0.25"/>
  <cols>
    <col min="1" max="1" width="16.5703125" customWidth="1"/>
    <col min="2" max="2" width="15.85546875" customWidth="1"/>
    <col min="4" max="6" width="14.42578125" customWidth="1"/>
    <col min="7" max="7" width="15.140625" customWidth="1"/>
    <col min="8" max="8" width="16" customWidth="1"/>
    <col min="9" max="9" width="16.42578125" customWidth="1"/>
    <col min="10" max="10" width="14.42578125" customWidth="1"/>
    <col min="11" max="15" width="15.28515625" customWidth="1"/>
    <col min="16" max="16" width="17.140625" customWidth="1"/>
    <col min="17" max="17" width="18.85546875" customWidth="1"/>
  </cols>
  <sheetData>
    <row r="2" spans="1:26" ht="26.25" x14ac:dyDescent="0.25">
      <c r="A2" s="7" t="s">
        <v>204</v>
      </c>
    </row>
    <row r="3" spans="1:26" ht="18.75" x14ac:dyDescent="0.25">
      <c r="A3" s="8" t="s">
        <v>15</v>
      </c>
    </row>
    <row r="4" spans="1:26" ht="18.75" x14ac:dyDescent="0.25">
      <c r="A4" s="8" t="s">
        <v>16</v>
      </c>
    </row>
    <row r="8" spans="1:26" ht="32.1" customHeight="1" x14ac:dyDescent="0.25">
      <c r="A8" s="465" t="s">
        <v>30</v>
      </c>
      <c r="B8" s="465"/>
      <c r="C8" s="469" t="s">
        <v>56</v>
      </c>
      <c r="D8" s="470"/>
      <c r="E8" s="470"/>
      <c r="F8" s="470"/>
      <c r="G8" s="471"/>
      <c r="H8" s="455" t="s">
        <v>126</v>
      </c>
      <c r="I8" s="455" t="s">
        <v>57</v>
      </c>
      <c r="J8" s="466" t="s">
        <v>129</v>
      </c>
      <c r="K8" s="467"/>
      <c r="L8" s="467"/>
      <c r="M8" s="468"/>
      <c r="N8" s="460" t="s">
        <v>61</v>
      </c>
      <c r="O8" s="455" t="s">
        <v>260</v>
      </c>
      <c r="P8" s="455" t="s">
        <v>261</v>
      </c>
      <c r="Q8" s="455" t="s">
        <v>220</v>
      </c>
      <c r="R8" s="455" t="s">
        <v>221</v>
      </c>
      <c r="S8" s="460" t="s">
        <v>62</v>
      </c>
    </row>
    <row r="9" spans="1:26" ht="30" x14ac:dyDescent="0.25">
      <c r="A9" s="63" t="s">
        <v>52</v>
      </c>
      <c r="B9" s="63" t="s">
        <v>53</v>
      </c>
      <c r="C9" s="183" t="s">
        <v>64</v>
      </c>
      <c r="D9" s="183" t="s">
        <v>54</v>
      </c>
      <c r="E9" s="183" t="s">
        <v>117</v>
      </c>
      <c r="F9" s="183" t="s">
        <v>63</v>
      </c>
      <c r="G9" s="183" t="s">
        <v>55</v>
      </c>
      <c r="H9" s="456"/>
      <c r="I9" s="456"/>
      <c r="J9" s="63" t="s">
        <v>219</v>
      </c>
      <c r="K9" s="63" t="s">
        <v>130</v>
      </c>
      <c r="L9" s="63" t="s">
        <v>131</v>
      </c>
      <c r="M9" s="63" t="s">
        <v>132</v>
      </c>
      <c r="N9" s="460"/>
      <c r="O9" s="456"/>
      <c r="P9" s="456"/>
      <c r="Q9" s="456"/>
      <c r="R9" s="456"/>
      <c r="S9" s="460"/>
    </row>
    <row r="10" spans="1:26" x14ac:dyDescent="0.25">
      <c r="A10" s="33" t="str">
        <f>IF(SYNTHESE!A39="","",SYNTHESE!A39)</f>
        <v>f1</v>
      </c>
      <c r="B10" s="33" t="str">
        <f>IF(SYNTHESE!B39="","",SYNTHESE!B39)</f>
        <v>f1</v>
      </c>
      <c r="C10" s="33">
        <f>IF(A10="","",SYNTHESE!C39)</f>
        <v>100</v>
      </c>
      <c r="D10" s="33">
        <f>IF(A10="","",SYNTHESE!D39)</f>
        <v>2</v>
      </c>
      <c r="E10" s="33" t="str">
        <f>IF(D10=1, "1", IF(D10=2,"1,5"," "))</f>
        <v>1,5</v>
      </c>
      <c r="F10" s="35">
        <f>IF(OR(SYNTHESE!C39="",E10=""),"",SYNTHESE!C39/E10)</f>
        <v>66.666666666666671</v>
      </c>
      <c r="G10" s="35">
        <f>IF(OR(SYNTHESE!C39="",'calcul haies'!F10=""),"",'calcul haies'!F10/SYNTHESE!C39)</f>
        <v>0.66666666666666674</v>
      </c>
      <c r="H10" s="34" t="str">
        <f>IF(B10="","",IF(SYNTHESE!F39="oui","non","oui"))</f>
        <v>oui</v>
      </c>
      <c r="I10" s="33" t="str">
        <f>IF(A10="","","oui")</f>
        <v>oui</v>
      </c>
      <c r="J10" s="36" t="str">
        <f>IF(B10="","",IF((SYNTHESE!G39+SYNTHESE!H39)&lt;0.5,"Erreur VL+MFR","oui"))</f>
        <v>oui</v>
      </c>
      <c r="K10" s="35">
        <f>IF(B10="","",C10*SYNTHESE!G39)</f>
        <v>50</v>
      </c>
      <c r="L10" s="35">
        <f>IF(B10="","",SYNTHESE!H39*C10)</f>
        <v>0</v>
      </c>
      <c r="M10" s="35">
        <f>IF(B10="","",C10-K10-L10)</f>
        <v>50</v>
      </c>
      <c r="N10" s="33" t="str">
        <f>IF(B10="","","oui")</f>
        <v>oui</v>
      </c>
      <c r="O10" s="33" t="str">
        <f>IF(A10="","",IF(AND(SYNTHESE!I39="oui",SYNTHESE!J39="oui"),"erreur",IF(AND(SYNTHESE!I39="non",SYNTHESE!J39="non"),"non","oui")))</f>
        <v>non</v>
      </c>
      <c r="P10" s="34" t="str">
        <f>IF(A10="","",IF(AND(O10="oui",SYNTHESE!K39="oui"),"oui",IF(AND(O10="oui",SYNTHESE!K39="non"),"oui",IF(AND('calcul haies'!O10="non",SYNTHESE!K39="non"),"erreur",IF(AND(O10="non",SYNTHESE!K39="oui"),"oui",IF(AND('calcul haies'!O10="erreur",SYNTHESE!K39="oui"),"erreur","erreur"))))))</f>
        <v>oui</v>
      </c>
      <c r="Q10" s="314">
        <f>IF(A10="","",IF(AND(O10="non",SYNTHESE!L39+SYNTHESE!M39=100%),SYNTHESE!L39*'calcul haies'!C10,IF(AND(O10="oui",SYNTHESE!L39+SYNTHESE!M39&lt;=100%),SYNTHESE!L39*'calcul haies'!C10,"erreur")))</f>
        <v>50</v>
      </c>
      <c r="R10" s="314">
        <f>IF(A10="","",IF(AND(O10="non",SYNTHESE!L39+SYNTHESE!M39=100%),SYNTHESE!M39*'calcul haies'!C10,IF(AND(O10="oui",SYNTHESE!L39+SYNTHESE!M39&lt;=100%),SYNTHESE!M39*'calcul haies'!C10,"erreur")))</f>
        <v>50</v>
      </c>
      <c r="S10" s="33" t="str">
        <f>IF(B10="","","oui")</f>
        <v>oui</v>
      </c>
    </row>
    <row r="11" spans="1:26" x14ac:dyDescent="0.25">
      <c r="A11" s="33" t="str">
        <f>IF(SYNTHESE!A40="","",SYNTHESE!A40)</f>
        <v/>
      </c>
      <c r="B11" s="33" t="str">
        <f>IF(SYNTHESE!B40="","",SYNTHESE!B40)</f>
        <v/>
      </c>
      <c r="C11" s="34" t="str">
        <f>IF(A11="","",SYNTHESE!C40)</f>
        <v/>
      </c>
      <c r="D11" s="34" t="str">
        <f>IF(A11="","",SYNTHESE!D40)</f>
        <v/>
      </c>
      <c r="E11" s="34" t="str">
        <f t="shared" ref="E11:E15" si="0">IF(D11=1, "1", IF(D11=2,"1,5"," "))</f>
        <v xml:space="preserve"> </v>
      </c>
      <c r="F11" s="35" t="str">
        <f>IF(OR(SYNTHESE!C40="",E11=""),"",SYNTHESE!C40/E11)</f>
        <v/>
      </c>
      <c r="G11" s="35" t="str">
        <f>IF(OR(SYNTHESE!C40="",'calcul haies'!F11=""),"",'calcul haies'!F11/SYNTHESE!C40)</f>
        <v/>
      </c>
      <c r="H11" s="34" t="str">
        <f>IF(B11="","",IF(SYNTHESE!F40="oui","non","oui"))</f>
        <v/>
      </c>
      <c r="I11" s="34" t="str">
        <f t="shared" ref="I11:I15" si="1">IF(A11="","","oui")</f>
        <v/>
      </c>
      <c r="J11" s="36" t="str">
        <f>IF(B11="","",IF((SYNTHESE!G40+SYNTHESE!H40)&lt;0.5,"Erreur VL+MFR","oui"))</f>
        <v/>
      </c>
      <c r="K11" s="35" t="str">
        <f>IF(B11="","",C11*SYNTHESE!G40)</f>
        <v/>
      </c>
      <c r="L11" s="35" t="str">
        <f>IF(B11="","",SYNTHESE!H40*C11)</f>
        <v/>
      </c>
      <c r="M11" s="35" t="str">
        <f t="shared" ref="M11:M15" si="2">IF(B11="","",C11-K11-L11)</f>
        <v/>
      </c>
      <c r="N11" s="34" t="str">
        <f t="shared" ref="N11:N15" si="3">IF(B11="","","oui")</f>
        <v/>
      </c>
      <c r="O11" s="34" t="str">
        <f>IF(A11="","",IF(AND(SYNTHESE!I40="oui",SYNTHESE!J40="oui"),"erreur",IF(AND(SYNTHESE!I40="non",SYNTHESE!J40="non"),"non","oui")))</f>
        <v/>
      </c>
      <c r="P11" s="34" t="str">
        <f>IF(A11="","",IF(AND(O11="oui",SYNTHESE!K40="oui"),"oui",IF(AND(O11="oui",SYNTHESE!K40="non"),"oui",IF(AND('calcul haies'!O11="non",SYNTHESE!K40="non"),"erreur",IF(AND(O11="non",SYNTHESE!K40="oui"),"oui",IF(AND('calcul haies'!O11="erreur",SYNTHESE!K40="oui"),"erreur","erreur"))))))</f>
        <v/>
      </c>
      <c r="Q11" s="314" t="str">
        <f>IF(A11="","",SYNTHESE!L40*C11)</f>
        <v/>
      </c>
      <c r="R11" s="314" t="str">
        <f>IF(A11="","",SYNTHESE!M40*C11)</f>
        <v/>
      </c>
      <c r="S11" s="34" t="str">
        <f t="shared" ref="S11:S15" si="4">IF(B11="","","oui")</f>
        <v/>
      </c>
    </row>
    <row r="12" spans="1:26" x14ac:dyDescent="0.25">
      <c r="A12" s="33" t="str">
        <f>IF(SYNTHESE!A41="","",SYNTHESE!A41)</f>
        <v/>
      </c>
      <c r="B12" s="33" t="str">
        <f>IF(SYNTHESE!B41="","",SYNTHESE!B41)</f>
        <v/>
      </c>
      <c r="C12" s="34" t="str">
        <f>IF(A12="","",SYNTHESE!C41)</f>
        <v/>
      </c>
      <c r="D12" s="34" t="str">
        <f>IF(A12="","",SYNTHESE!D41)</f>
        <v/>
      </c>
      <c r="E12" s="34" t="str">
        <f t="shared" si="0"/>
        <v xml:space="preserve"> </v>
      </c>
      <c r="F12" s="35" t="str">
        <f>IF(OR(SYNTHESE!C41="",E12=""),"",SYNTHESE!C41/E12)</f>
        <v/>
      </c>
      <c r="G12" s="35" t="str">
        <f>IF(OR(SYNTHESE!C41="",'calcul haies'!F12=""),"",'calcul haies'!F12/SYNTHESE!C41)</f>
        <v/>
      </c>
      <c r="H12" s="34" t="str">
        <f>IF(B12="","",IF(SYNTHESE!F41="oui","non","oui"))</f>
        <v/>
      </c>
      <c r="I12" s="34" t="str">
        <f t="shared" si="1"/>
        <v/>
      </c>
      <c r="J12" s="36" t="str">
        <f>IF(B12="","",IF((SYNTHESE!G41+SYNTHESE!H41)&lt;0.5,"Erreur VL+MFR","oui"))</f>
        <v/>
      </c>
      <c r="K12" s="35" t="str">
        <f>IF(B12="","",C12*SYNTHESE!G41)</f>
        <v/>
      </c>
      <c r="L12" s="35" t="str">
        <f>IF(B12="","",SYNTHESE!H41*C12)</f>
        <v/>
      </c>
      <c r="M12" s="35" t="str">
        <f t="shared" si="2"/>
        <v/>
      </c>
      <c r="N12" s="34" t="str">
        <f t="shared" si="3"/>
        <v/>
      </c>
      <c r="O12" s="34" t="str">
        <f>IF(A12="","",IF(AND(SYNTHESE!I41="oui",SYNTHESE!J41="oui"),"erreur",IF(AND(SYNTHESE!I41="non",SYNTHESE!J41="non"),"non","oui")))</f>
        <v/>
      </c>
      <c r="P12" s="34" t="str">
        <f>IF(A12="","",IF(AND(O12="oui",SYNTHESE!K41="oui"),"oui",IF(AND(O12="oui",SYNTHESE!K41="non"),"oui",IF(AND('calcul haies'!O12="non",SYNTHESE!K41="non"),"erreur",IF(AND(O12="non",SYNTHESE!K41="oui"),"oui",IF(AND('calcul haies'!O12="erreur",SYNTHESE!K41="oui"),"erreur","erreur"))))))</f>
        <v/>
      </c>
      <c r="Q12" s="314" t="str">
        <f>IF(A12="","",SYNTHESE!L41*C12)</f>
        <v/>
      </c>
      <c r="R12" s="314" t="str">
        <f>IF(A12="","",SYNTHESE!M41*C12)</f>
        <v/>
      </c>
      <c r="S12" s="34" t="str">
        <f t="shared" si="4"/>
        <v/>
      </c>
      <c r="T12" s="295"/>
      <c r="U12" s="269"/>
      <c r="V12" s="269"/>
      <c r="W12" s="269"/>
      <c r="X12" s="269"/>
      <c r="Y12" s="269"/>
      <c r="Z12" s="269"/>
    </row>
    <row r="13" spans="1:26" x14ac:dyDescent="0.25">
      <c r="A13" s="33" t="str">
        <f>IF(SYNTHESE!A42="","",SYNTHESE!A42)</f>
        <v/>
      </c>
      <c r="B13" s="33" t="str">
        <f>IF(SYNTHESE!B42="","",SYNTHESE!B42)</f>
        <v/>
      </c>
      <c r="C13" s="34" t="str">
        <f>IF(A13="","",SYNTHESE!C42)</f>
        <v/>
      </c>
      <c r="D13" s="34" t="str">
        <f>IF(A13="","",SYNTHESE!D42)</f>
        <v/>
      </c>
      <c r="E13" s="34" t="str">
        <f t="shared" si="0"/>
        <v xml:space="preserve"> </v>
      </c>
      <c r="F13" s="35" t="str">
        <f>IF(OR(SYNTHESE!C42="",E13=""),"",SYNTHESE!C42/E13)</f>
        <v/>
      </c>
      <c r="G13" s="35" t="str">
        <f>IF(OR(SYNTHESE!C42="",'calcul haies'!F13=""),"",'calcul haies'!F13/SYNTHESE!C42)</f>
        <v/>
      </c>
      <c r="H13" s="34" t="str">
        <f>IF(B13="","",IF(SYNTHESE!F42="oui","non","oui"))</f>
        <v/>
      </c>
      <c r="I13" s="34" t="str">
        <f t="shared" si="1"/>
        <v/>
      </c>
      <c r="J13" s="36" t="str">
        <f>IF(B13="","",IF((SYNTHESE!G42+SYNTHESE!H42)&lt;0.5,"Erreur VL+MFR","oui"))</f>
        <v/>
      </c>
      <c r="K13" s="35" t="str">
        <f>IF(B13="","",C13*SYNTHESE!G42)</f>
        <v/>
      </c>
      <c r="L13" s="35" t="str">
        <f>IF(B13="","",SYNTHESE!H42*C13)</f>
        <v/>
      </c>
      <c r="M13" s="35" t="str">
        <f t="shared" si="2"/>
        <v/>
      </c>
      <c r="N13" s="34" t="str">
        <f t="shared" si="3"/>
        <v/>
      </c>
      <c r="O13" s="34" t="str">
        <f>IF(A13="","",IF(AND(SYNTHESE!I42="oui",SYNTHESE!J42="oui"),"erreur",IF(AND(SYNTHESE!I42="non",SYNTHESE!J42="non"),"non","oui")))</f>
        <v/>
      </c>
      <c r="P13" s="34" t="str">
        <f>IF(A13="","",IF(AND(O13="oui",SYNTHESE!K42="oui"),"oui",IF(AND(O13="oui",SYNTHESE!K42="non"),"oui",IF(AND('calcul haies'!O13="non",SYNTHESE!K42="non"),"erreur",IF(AND(O13="non",SYNTHESE!K42="oui"),"oui",IF(AND('calcul haies'!O13="erreur",SYNTHESE!K42="oui"),"erreur","erreur"))))))</f>
        <v/>
      </c>
      <c r="Q13" s="314" t="str">
        <f>IF(A13="","",SYNTHESE!L42*C13)</f>
        <v/>
      </c>
      <c r="R13" s="314" t="str">
        <f>IF(A13="","",SYNTHESE!M42*C13)</f>
        <v/>
      </c>
      <c r="S13" s="34" t="str">
        <f t="shared" si="4"/>
        <v/>
      </c>
      <c r="T13" s="273"/>
    </row>
    <row r="14" spans="1:26" x14ac:dyDescent="0.25">
      <c r="A14" s="33" t="str">
        <f>IF(SYNTHESE!A43="","",SYNTHESE!A43)</f>
        <v/>
      </c>
      <c r="B14" s="33" t="str">
        <f>IF(SYNTHESE!B43="","",SYNTHESE!B43)</f>
        <v/>
      </c>
      <c r="C14" s="34" t="str">
        <f>IF(A14="","",SYNTHESE!C43)</f>
        <v/>
      </c>
      <c r="D14" s="34" t="str">
        <f>IF(A14="","",SYNTHESE!D43)</f>
        <v/>
      </c>
      <c r="E14" s="34" t="str">
        <f t="shared" si="0"/>
        <v xml:space="preserve"> </v>
      </c>
      <c r="F14" s="35" t="str">
        <f>IF(OR(SYNTHESE!C43="",E14=""),"",SYNTHESE!C43/E14)</f>
        <v/>
      </c>
      <c r="G14" s="35" t="str">
        <f>IF(OR(SYNTHESE!C43="",'calcul haies'!F14=""),"",'calcul haies'!F14/SYNTHESE!C43)</f>
        <v/>
      </c>
      <c r="H14" s="34" t="str">
        <f>IF(B14="","",IF(SYNTHESE!F43="oui","non","oui"))</f>
        <v/>
      </c>
      <c r="I14" s="34" t="str">
        <f t="shared" si="1"/>
        <v/>
      </c>
      <c r="J14" s="36" t="str">
        <f>IF(B14="","",IF((SYNTHESE!G43+SYNTHESE!H43)&lt;0.5,"Erreur VL+MFR","oui"))</f>
        <v/>
      </c>
      <c r="K14" s="35" t="str">
        <f>IF(B14="","",C14*SYNTHESE!G43)</f>
        <v/>
      </c>
      <c r="L14" s="35" t="str">
        <f>IF(B14="","",SYNTHESE!H43*C14)</f>
        <v/>
      </c>
      <c r="M14" s="35" t="str">
        <f t="shared" si="2"/>
        <v/>
      </c>
      <c r="N14" s="34" t="str">
        <f t="shared" si="3"/>
        <v/>
      </c>
      <c r="O14" s="34" t="str">
        <f>IF(A14="","",IF(AND(SYNTHESE!I43="oui",SYNTHESE!J43="oui"),"erreur",IF(AND(SYNTHESE!I43="non",SYNTHESE!J43="non"),"non","oui")))</f>
        <v/>
      </c>
      <c r="P14" s="34" t="str">
        <f>IF(A14="","",IF(AND(O14="oui",SYNTHESE!K43="oui"),"oui",IF(AND(O14="oui",SYNTHESE!K43="non"),"oui",IF(AND('calcul haies'!O14="non",SYNTHESE!K43="non"),"erreur",IF(AND(O14="non",SYNTHESE!K43="oui"),"oui",IF(AND('calcul haies'!O14="erreur",SYNTHESE!K43="oui"),"erreur","erreur"))))))</f>
        <v/>
      </c>
      <c r="Q14" s="314" t="str">
        <f>IF(A14="","",SYNTHESE!L43*C14)</f>
        <v/>
      </c>
      <c r="R14" s="314" t="str">
        <f>IF(A14="","",SYNTHESE!M43*C14)</f>
        <v/>
      </c>
      <c r="S14" s="34" t="str">
        <f t="shared" si="4"/>
        <v/>
      </c>
    </row>
    <row r="15" spans="1:26" x14ac:dyDescent="0.25">
      <c r="A15" s="33" t="str">
        <f>IF(SYNTHESE!A44="","",SYNTHESE!A44)</f>
        <v/>
      </c>
      <c r="B15" s="33" t="str">
        <f>IF(SYNTHESE!B44="","",SYNTHESE!B44)</f>
        <v/>
      </c>
      <c r="C15" s="34" t="str">
        <f>IF(A15="","",SYNTHESE!C44)</f>
        <v/>
      </c>
      <c r="D15" s="34" t="str">
        <f>IF(A15="","",SYNTHESE!D44)</f>
        <v/>
      </c>
      <c r="E15" s="34" t="str">
        <f t="shared" si="0"/>
        <v xml:space="preserve"> </v>
      </c>
      <c r="F15" s="35" t="str">
        <f>IF(OR(SYNTHESE!C44="",E15=""),"",SYNTHESE!C44/E15)</f>
        <v/>
      </c>
      <c r="G15" s="35" t="str">
        <f>IF(OR(SYNTHESE!C44="",'calcul haies'!F15=""),"",'calcul haies'!F15/SYNTHESE!C44)</f>
        <v/>
      </c>
      <c r="H15" s="34" t="str">
        <f>IF(B15="","",IF(SYNTHESE!F44="oui","non","oui"))</f>
        <v/>
      </c>
      <c r="I15" s="34" t="str">
        <f t="shared" si="1"/>
        <v/>
      </c>
      <c r="J15" s="36" t="str">
        <f>IF(B15="","",IF((SYNTHESE!G44+SYNTHESE!H44)&lt;0.5,"Erreur VL+MFR","oui"))</f>
        <v/>
      </c>
      <c r="K15" s="35" t="str">
        <f>IF(B15="","",C15*SYNTHESE!G44)</f>
        <v/>
      </c>
      <c r="L15" s="35" t="str">
        <f>IF(B15="","",SYNTHESE!H44*C15)</f>
        <v/>
      </c>
      <c r="M15" s="35" t="str">
        <f t="shared" si="2"/>
        <v/>
      </c>
      <c r="N15" s="34" t="str">
        <f t="shared" si="3"/>
        <v/>
      </c>
      <c r="O15" s="34" t="str">
        <f>IF(A15="","",IF(AND(SYNTHESE!I44="oui",SYNTHESE!J44="oui"),"erreur",IF(AND(SYNTHESE!I44="non",SYNTHESE!J44="non"),"non","oui")))</f>
        <v/>
      </c>
      <c r="P15" s="34" t="str">
        <f>IF(A15="","",IF(AND(O15="oui",SYNTHESE!K44="oui"),"oui",IF(AND(O15="oui",SYNTHESE!K44="non"),"oui",IF(AND('calcul haies'!O15="non",SYNTHESE!K44="non"),"erreur",IF(AND(O15="non",SYNTHESE!K44="oui"),"oui",IF(AND('calcul haies'!O15="erreur",SYNTHESE!K44="oui"),"erreur","erreur"))))))</f>
        <v/>
      </c>
      <c r="Q15" s="314" t="str">
        <f>IF(A15="","",SYNTHESE!L44*C15)</f>
        <v/>
      </c>
      <c r="R15" s="314" t="str">
        <f>IF(A15="","",SYNTHESE!M44*C15)</f>
        <v/>
      </c>
      <c r="S15" s="34" t="str">
        <f t="shared" si="4"/>
        <v/>
      </c>
    </row>
    <row r="17" spans="1:20" x14ac:dyDescent="0.25">
      <c r="A17" s="40" t="s">
        <v>282</v>
      </c>
      <c r="C17" s="278"/>
    </row>
    <row r="19" spans="1:20" s="219" customFormat="1" ht="43.5" customHeight="1" x14ac:dyDescent="0.25">
      <c r="A19" s="464" t="s">
        <v>30</v>
      </c>
      <c r="B19" s="464"/>
      <c r="C19" s="455" t="s">
        <v>126</v>
      </c>
      <c r="D19" s="455" t="s">
        <v>57</v>
      </c>
      <c r="E19" s="466" t="s">
        <v>0</v>
      </c>
      <c r="F19" s="467"/>
      <c r="G19" s="467"/>
      <c r="H19" s="468"/>
      <c r="I19" s="460" t="s">
        <v>61</v>
      </c>
      <c r="J19" s="457" t="s">
        <v>40</v>
      </c>
      <c r="K19" s="458"/>
      <c r="L19" s="458"/>
      <c r="M19" s="458"/>
      <c r="N19" s="458"/>
      <c r="O19" s="459"/>
      <c r="P19" s="460" t="s">
        <v>62</v>
      </c>
      <c r="Q19" s="461" t="s">
        <v>281</v>
      </c>
      <c r="R19" s="278"/>
    </row>
    <row r="20" spans="1:20" s="219" customFormat="1" ht="30" x14ac:dyDescent="0.25">
      <c r="A20" s="209" t="s">
        <v>52</v>
      </c>
      <c r="B20" s="209" t="s">
        <v>53</v>
      </c>
      <c r="C20" s="456"/>
      <c r="D20" s="456"/>
      <c r="E20" s="209" t="s">
        <v>66</v>
      </c>
      <c r="F20" s="209" t="s">
        <v>67</v>
      </c>
      <c r="G20" s="209" t="s">
        <v>68</v>
      </c>
      <c r="H20" s="209" t="s">
        <v>69</v>
      </c>
      <c r="I20" s="460"/>
      <c r="J20" s="209" t="s">
        <v>70</v>
      </c>
      <c r="K20" s="64" t="s">
        <v>225</v>
      </c>
      <c r="L20" s="211" t="s">
        <v>23</v>
      </c>
      <c r="M20" s="211" t="s">
        <v>24</v>
      </c>
      <c r="N20" s="211" t="s">
        <v>222</v>
      </c>
      <c r="O20" s="211" t="s">
        <v>223</v>
      </c>
      <c r="P20" s="460"/>
      <c r="Q20" s="461"/>
      <c r="R20" s="462"/>
      <c r="S20" s="463"/>
      <c r="T20" s="463"/>
    </row>
    <row r="21" spans="1:20" s="219" customFormat="1" x14ac:dyDescent="0.25">
      <c r="A21" s="34" t="str">
        <f>A10</f>
        <v>f1</v>
      </c>
      <c r="B21" s="34" t="str">
        <f>B10</f>
        <v>f1</v>
      </c>
      <c r="C21" s="218">
        <f>IF(B21="","",IF(H10="oui",IF(D10=1,C10*Barèmes!$E$13,IF(D10=2,C10*Barèmes!$F$13,0)),0))</f>
        <v>109.00000000000001</v>
      </c>
      <c r="D21" s="212">
        <f>IF(B21="","",IF(D10=1,Barèmes!$E$14*C10,IF(D10=2,Barèmes!$F$14*C10,0)))</f>
        <v>551</v>
      </c>
      <c r="E21" s="212">
        <f>IF(B21="","",F21+G21+H21)</f>
        <v>356.43999999999994</v>
      </c>
      <c r="F21" s="212">
        <f>IF(B21="","",IF(J10="oui",IF(D10=1,Barèmes!$E$16*K10,IF(D10=2,Barèmes!$F$16*K10,0)),"erreur"))</f>
        <v>203.48999999999998</v>
      </c>
      <c r="G21" s="212">
        <f>IF(B21="","",IF(J10="oui",IF(D10=1,Barèmes!$E$17*L10,IF(D10=2,Barèmes!$F$17*L10,0)),"erreur"))</f>
        <v>0</v>
      </c>
      <c r="H21" s="212">
        <f>IF(B21="","",IF(J10="oui",IF(D10=1,Barèmes!$E$15*M10,IF(D10=2,Barèmes!$F$15*M10,0)),"erreur"))</f>
        <v>152.94999999999999</v>
      </c>
      <c r="I21" s="212">
        <f>IF(B21="","",IF(D10=1,Barèmes!$E$18*C10,IF(D10=2,Barèmes!$F$18*C10,0)))</f>
        <v>575</v>
      </c>
      <c r="J21" s="212">
        <f>IF(A21="","",IF(P10="oui",K21+N21+O21,"erreur"))</f>
        <v>469.5</v>
      </c>
      <c r="K21" s="212">
        <f>IF(A21="","",IF(SYNTHESE!E39="oui",(L21*2)+(M21*2),(L21+M21)))</f>
        <v>0</v>
      </c>
      <c r="L21" s="218" t="b">
        <f>IF(B21="","",IF(O10="oui",IF(SYNTHESE!I39="oui",IF(D10=1,C10*Barèmes!$E$19,IF(D10=2,C10*Barèmes!$F$19,0)),IF(SYNTHESE!I39="non",0))))</f>
        <v>0</v>
      </c>
      <c r="M21" s="218" t="b">
        <f>IF(B21="","",IF(O10="oui",IF(SYNTHESE!J39="oui",IF(D10=1,C10*Barèmes!$E$20,IF(D10=2,C10*Barèmes!$F$20,0)),0)))</f>
        <v>0</v>
      </c>
      <c r="N21" s="220">
        <f>IF(A10=" "," ",IF(D10=1,Barèmes!$E$21*'calcul haies'!Q10,IF('calcul haies'!D10=2,Barèmes!$F$21*'calcul haies'!Q10,0)))</f>
        <v>147.5</v>
      </c>
      <c r="O21" s="220">
        <f>IF(B21=" "," ",IF(D10=1,Barèmes!$E$22*'calcul haies'!R10,IF(D10=2,Barèmes!$F$22*'calcul haies'!R10,0)))</f>
        <v>322</v>
      </c>
      <c r="P21" s="218">
        <f>IF(B21="","",IF(D10=1,Barèmes!$E$23*C10,IF(D10=2,Barèmes!$F$23*C10,0)))</f>
        <v>571</v>
      </c>
      <c r="Q21" s="218">
        <f>IF(A21="","",(C21+D21+E21+I21+J21+P21))</f>
        <v>2631.94</v>
      </c>
    </row>
    <row r="22" spans="1:20" s="219" customFormat="1" x14ac:dyDescent="0.25">
      <c r="A22" s="34" t="str">
        <f t="shared" ref="A22:B26" si="5">A11</f>
        <v/>
      </c>
      <c r="B22" s="34" t="str">
        <f t="shared" si="5"/>
        <v/>
      </c>
      <c r="C22" s="218" t="str">
        <f>IF(B22="","",IF(H11="oui",IF(D11=1,C11*Barèmes!$E$13,IF(D11=2,C11*Barèmes!$F$13,0)),0))</f>
        <v/>
      </c>
      <c r="D22" s="298" t="str">
        <f>IF(B22="","",IF(D11=1,Barèmes!$E$14*C11,IF(D11=2,Barèmes!$F$14*C11,0)))</f>
        <v/>
      </c>
      <c r="E22" s="298" t="str">
        <f t="shared" ref="E22:E26" si="6">IF(B22="","",F22+G22+H22)</f>
        <v/>
      </c>
      <c r="F22" s="298" t="str">
        <f>IF(B22="","",IF(J11="oui",IF(D11=1,Barèmes!$E$16*K11,IF(D11=2,Barèmes!$F$16*K11,0)),"erreur"))</f>
        <v/>
      </c>
      <c r="G22" s="298" t="str">
        <f>IF(B22="","",IF(J11="oui",IF(D11=1,Barèmes!$E$17*L11,IF(D11=2,Barèmes!$F$17*L11,0)),"erreur"))</f>
        <v/>
      </c>
      <c r="H22" s="298" t="str">
        <f>IF(B22="","",IF(J11="oui",IF(D11=1,Barèmes!$E$15*M11,IF(D11=2,Barèmes!$F$15*M11,0)),"erreur"))</f>
        <v/>
      </c>
      <c r="I22" s="298" t="str">
        <f>IF(B22="","",IF(D11=1,Barèmes!$E$18*C11,IF(D11=2,Barèmes!$F$18*C11,0)))</f>
        <v/>
      </c>
      <c r="J22" s="298" t="str">
        <f t="shared" ref="J22:J26" si="7">IF(A22="","",IF(P11="oui",K22+N22+O22,"erreur"))</f>
        <v/>
      </c>
      <c r="K22" s="298" t="str">
        <f>IF(A22="","",IF(SYNTHESE!E40="oui",(L22*2)+(M22*2),(L22+M22)))</f>
        <v/>
      </c>
      <c r="L22" s="218" t="str">
        <f>IF(B22="","",IF(O11="oui",IF(SYNTHESE!I40="oui",IF(D11=1,C11*Barèmes!$E$19,IF(D11=2,C11*Barèmes!$F$19,0)),IF(SYNTHESE!I40="non",0))))</f>
        <v/>
      </c>
      <c r="M22" s="218" t="str">
        <f>IF(B22="","",IF(O11="oui",IF(SYNTHESE!J40="oui",IF(D11=1,C11*Barèmes!$E$20,IF(D11=2,C11*Barèmes!$F$20,0)),0)))</f>
        <v/>
      </c>
      <c r="N22" s="220">
        <f>IF(A11=" "," ",IF(D11=1,Barèmes!$E$21*'calcul haies'!Q11,IF('calcul haies'!D11=2,Barèmes!$F$21*'calcul haies'!Q11,0)))</f>
        <v>0</v>
      </c>
      <c r="O22" s="220">
        <f>IF(B22=" "," ",IF(D11=1,Barèmes!$E$22*'calcul haies'!R11,IF(D11=2,Barèmes!$F$22*'calcul haies'!R11,0)))</f>
        <v>0</v>
      </c>
      <c r="P22" s="218" t="str">
        <f>IF(B22="","",IF(D11=1,Barèmes!$E$23*C11,IF(D11=2,Barèmes!$F$23*C11,0)))</f>
        <v/>
      </c>
      <c r="Q22" s="218" t="str">
        <f t="shared" ref="Q22:Q26" si="8">IF(A22="","",(C22+D22+E22+I22+J22+P22))</f>
        <v/>
      </c>
    </row>
    <row r="23" spans="1:20" s="219" customFormat="1" x14ac:dyDescent="0.25">
      <c r="A23" s="34" t="str">
        <f t="shared" si="5"/>
        <v/>
      </c>
      <c r="B23" s="34" t="str">
        <f t="shared" si="5"/>
        <v/>
      </c>
      <c r="C23" s="218" t="str">
        <f>IF(B23="","",IF(H12="oui",IF(D12=1,C12*Barèmes!$E$13,IF(D12=2,C12*Barèmes!$F$13,0)),0))</f>
        <v/>
      </c>
      <c r="D23" s="298" t="str">
        <f>IF(B23="","",IF(D12=1,Barèmes!$E$14*C12,IF(D12=2,Barèmes!$F$14*C12,0)))</f>
        <v/>
      </c>
      <c r="E23" s="298" t="str">
        <f t="shared" si="6"/>
        <v/>
      </c>
      <c r="F23" s="298" t="str">
        <f>IF(B23="","",IF(J12="oui",IF(D12=1,Barèmes!$E$16*K12,IF(D12=2,Barèmes!$F$16*K12,0)),"erreur"))</f>
        <v/>
      </c>
      <c r="G23" s="298" t="str">
        <f>IF(B23="","",IF(J12="oui",IF(D12=1,Barèmes!$E$17*L12,IF(D12=2,Barèmes!$F$17*L12,0)),"erreur"))</f>
        <v/>
      </c>
      <c r="H23" s="298" t="str">
        <f>IF(B23="","",IF(J12="oui",IF(D12=1,Barèmes!$E$15*M12,IF(D12=2,Barèmes!$F$15*M12,0)),"erreur"))</f>
        <v/>
      </c>
      <c r="I23" s="298" t="str">
        <f>IF(B23="","",IF(D12=1,Barèmes!$E$18*C12,IF(D12=2,Barèmes!$F$18*C12,0)))</f>
        <v/>
      </c>
      <c r="J23" s="298" t="str">
        <f t="shared" si="7"/>
        <v/>
      </c>
      <c r="K23" s="298" t="str">
        <f>IF(A23="","",IF(SYNTHESE!E41="oui",(L23*2)+(M23*2),(L23+M23)))</f>
        <v/>
      </c>
      <c r="L23" s="218" t="str">
        <f>IF(B23="","",IF(O12="oui",IF(SYNTHESE!I41="oui",IF(D12=1,C12*Barèmes!$E$19,IF(D12=2,C12*Barèmes!$F$19,0)),IF(SYNTHESE!I41="non",0))))</f>
        <v/>
      </c>
      <c r="M23" s="218" t="str">
        <f>IF(B23="","",IF(O12="oui",IF(SYNTHESE!J41="oui",IF(D12=1,C12*Barèmes!$E$20,IF(D12=2,C12*Barèmes!$F$20,0)),0)))</f>
        <v/>
      </c>
      <c r="N23" s="220">
        <f>IF(A12=" "," ",IF(D12=1,Barèmes!$E$21*'calcul haies'!Q12,IF('calcul haies'!D12=2,Barèmes!$F$21*'calcul haies'!Q12,0)))</f>
        <v>0</v>
      </c>
      <c r="O23" s="220">
        <f>IF(B23=" "," ",IF(D12=1,Barèmes!$E$22*'calcul haies'!R12,IF(D12=2,Barèmes!$F$22*'calcul haies'!R12,0)))</f>
        <v>0</v>
      </c>
      <c r="P23" s="218" t="str">
        <f>IF(B23="","",IF(D12=1,Barèmes!$E$23*C12,IF(D12=2,Barèmes!$F$23*C12,0)))</f>
        <v/>
      </c>
      <c r="Q23" s="299" t="str">
        <f>IF(A23="","",(C23+D23+E23+I23+J23+P23))</f>
        <v/>
      </c>
    </row>
    <row r="24" spans="1:20" s="219" customFormat="1" x14ac:dyDescent="0.25">
      <c r="A24" s="34" t="str">
        <f t="shared" si="5"/>
        <v/>
      </c>
      <c r="B24" s="34" t="str">
        <f t="shared" si="5"/>
        <v/>
      </c>
      <c r="C24" s="218" t="str">
        <f>IF(B24="","",IF(H13="oui",IF(D13=1,C13*Barèmes!$E$13,IF(D13=2,C13*Barèmes!$F$13,0)),0))</f>
        <v/>
      </c>
      <c r="D24" s="298" t="str">
        <f>IF(B24="","",IF(D13=1,Barèmes!$E$14*C13,IF(D13=2,Barèmes!$F$14*C13,0)))</f>
        <v/>
      </c>
      <c r="E24" s="298" t="str">
        <f t="shared" si="6"/>
        <v/>
      </c>
      <c r="F24" s="298" t="str">
        <f>IF(B24="","",IF(J13="oui",IF(D13=1,Barèmes!$E$16*K13,IF(D13=2,Barèmes!$F$16*K13,0)),"erreur"))</f>
        <v/>
      </c>
      <c r="G24" s="298" t="str">
        <f>IF(B24="","",IF(J13="oui",IF(D13=1,Barèmes!$E$17*L13,IF(D13=2,Barèmes!$F$17*L13,0)),"erreur"))</f>
        <v/>
      </c>
      <c r="H24" s="298" t="str">
        <f>IF(B24="","",IF(J13="oui",IF(D13=1,Barèmes!$E$15*M13,IF(D13=2,Barèmes!$F$15*M13,0)),"erreur"))</f>
        <v/>
      </c>
      <c r="I24" s="298" t="str">
        <f>IF(B24="","",IF(D13=1,Barèmes!$E$18*C13,IF(D13=2,Barèmes!$F$18*C13,0)))</f>
        <v/>
      </c>
      <c r="J24" s="298" t="str">
        <f t="shared" si="7"/>
        <v/>
      </c>
      <c r="K24" s="298" t="str">
        <f>IF(A24="","",IF(SYNTHESE!E42="oui",(L24*2)+(M24*2),(L24+M24)))</f>
        <v/>
      </c>
      <c r="L24" s="218" t="str">
        <f>IF(B24="","",IF(O13="oui",IF(SYNTHESE!I42="oui",IF(D13=1,C13*Barèmes!$E$19,IF(D13=2,C13*Barèmes!$F$19,0)),IF(SYNTHESE!I42="non",0))))</f>
        <v/>
      </c>
      <c r="M24" s="218" t="str">
        <f>IF(B24="","",IF(O13="oui",IF(SYNTHESE!J42="oui",IF(D13=1,C13*Barèmes!$E$20,IF(D13=2,C13*Barèmes!$F$20,0)),0)))</f>
        <v/>
      </c>
      <c r="N24" s="220">
        <f>IF(A13=" "," ",IF(D13=1,Barèmes!$E$21*'calcul haies'!Q13,IF('calcul haies'!D13=2,Barèmes!$F$21*'calcul haies'!Q13,0)))</f>
        <v>0</v>
      </c>
      <c r="O24" s="220">
        <f>IF(B24=" "," ",IF(D13=1,Barèmes!$E$22*'calcul haies'!R13,IF(D13=2,Barèmes!$F$22*'calcul haies'!R13,0)))</f>
        <v>0</v>
      </c>
      <c r="P24" s="218" t="str">
        <f>IF(B24="","",IF(D13=1,Barèmes!$E$23*C13,IF(D13=2,Barèmes!$F$23*C13,0)))</f>
        <v/>
      </c>
      <c r="Q24" s="218" t="str">
        <f t="shared" si="8"/>
        <v/>
      </c>
    </row>
    <row r="25" spans="1:20" s="219" customFormat="1" x14ac:dyDescent="0.25">
      <c r="A25" s="34" t="str">
        <f t="shared" si="5"/>
        <v/>
      </c>
      <c r="B25" s="34" t="str">
        <f t="shared" si="5"/>
        <v/>
      </c>
      <c r="C25" s="218" t="str">
        <f>IF(B25="","",IF(H14="oui",IF(D14=1,C14*Barèmes!$E$13,IF(D14=2,C14*Barèmes!$F$13,0)),0))</f>
        <v/>
      </c>
      <c r="D25" s="298" t="str">
        <f>IF(B25="","",IF(D14=1,Barèmes!$E$14*C14,IF(D14=2,Barèmes!$F$14*C14,0)))</f>
        <v/>
      </c>
      <c r="E25" s="298" t="str">
        <f t="shared" si="6"/>
        <v/>
      </c>
      <c r="F25" s="298" t="str">
        <f>IF(B25="","",IF(J14="oui",IF(D14=1,Barèmes!$E$16*K14,IF(D14=2,Barèmes!$F$16*K14,0)),"erreur"))</f>
        <v/>
      </c>
      <c r="G25" s="298" t="str">
        <f>IF(B25="","",IF(J14="oui",IF(D14=1,Barèmes!$E$17*L14,IF(D14=2,Barèmes!$F$17*L14,0)),"erreur"))</f>
        <v/>
      </c>
      <c r="H25" s="298" t="str">
        <f>IF(B25="","",IF(J14="oui",IF(D14=1,Barèmes!$E$15*M14,IF(D14=2,Barèmes!$F$15*M14,0)),"erreur"))</f>
        <v/>
      </c>
      <c r="I25" s="298" t="str">
        <f>IF(B25="","",IF(D14=1,Barèmes!$E$18*C14,IF(D14=2,Barèmes!$F$18*C14,0)))</f>
        <v/>
      </c>
      <c r="J25" s="298" t="str">
        <f t="shared" si="7"/>
        <v/>
      </c>
      <c r="K25" s="298" t="str">
        <f>IF(A25="","",IF(SYNTHESE!E43="oui",(L25*2)+(M25*2),(L25+M25)))</f>
        <v/>
      </c>
      <c r="L25" s="218" t="str">
        <f>IF(B25="","",IF(O14="oui",IF(SYNTHESE!I43="oui",IF(D14=1,C14*Barèmes!$E$19,IF(D14=2,C14*Barèmes!$F$19,0)),IF(SYNTHESE!I43="non",0))))</f>
        <v/>
      </c>
      <c r="M25" s="218" t="str">
        <f>IF(B25="","",IF(O14="oui",IF(SYNTHESE!J43="oui",IF(D14=1,C14*Barèmes!$E$20,IF(D14=2,C14*Barèmes!$F$20,0)),0)))</f>
        <v/>
      </c>
      <c r="N25" s="220">
        <f>IF(A14=" "," ",IF(D14=1,Barèmes!$E$21*'calcul haies'!Q14,IF('calcul haies'!D14=2,Barèmes!$F$21*'calcul haies'!Q14,0)))</f>
        <v>0</v>
      </c>
      <c r="O25" s="220">
        <f>IF(B25=" "," ",IF(D14=1,Barèmes!$E$22*'calcul haies'!R14,IF(D14=2,Barèmes!$F$22*'calcul haies'!R14,0)))</f>
        <v>0</v>
      </c>
      <c r="P25" s="218" t="str">
        <f>IF(B25="","",IF(D14=1,Barèmes!$E$23*C14,IF(D14=2,Barèmes!$F$23*C14,0)))</f>
        <v/>
      </c>
      <c r="Q25" s="218" t="str">
        <f t="shared" si="8"/>
        <v/>
      </c>
    </row>
    <row r="26" spans="1:20" s="219" customFormat="1" ht="15.75" thickBot="1" x14ac:dyDescent="0.3">
      <c r="A26" s="34" t="str">
        <f t="shared" si="5"/>
        <v/>
      </c>
      <c r="B26" s="34" t="str">
        <f t="shared" si="5"/>
        <v/>
      </c>
      <c r="C26" s="218" t="str">
        <f>IF(B26="","",IF(H15="oui",IF(D15=1,C15*Barèmes!$E$13,IF(D15=2,C15*Barèmes!$F$13,0)),0))</f>
        <v/>
      </c>
      <c r="D26" s="298" t="str">
        <f>IF(B26="","",IF(D15=1,Barèmes!$E$14*C15,IF(D15=2,Barèmes!$F$14*C15,0)))</f>
        <v/>
      </c>
      <c r="E26" s="298" t="str">
        <f t="shared" si="6"/>
        <v/>
      </c>
      <c r="F26" s="298" t="str">
        <f>IF(B26="","",IF(J15="oui",IF(D15=1,Barèmes!$E$16*K15,IF(D15=2,Barèmes!$F$16*K15,0)),"erreur"))</f>
        <v/>
      </c>
      <c r="G26" s="298" t="str">
        <f>IF(B26="","",IF(J15="oui",IF(D15=1,Barèmes!$E$17*L15,IF(D15=2,Barèmes!$F$17*L15,0)),"erreur"))</f>
        <v/>
      </c>
      <c r="H26" s="298" t="str">
        <f>IF(B26="","",IF(J15="oui",IF(D15=1,Barèmes!$E$15*M15,IF(D15=2,Barèmes!$F$15*M15,0)),"erreur"))</f>
        <v/>
      </c>
      <c r="I26" s="298" t="str">
        <f>IF(B26="","",IF(D15=1,Barèmes!$E$18*C15,IF(D15=2,Barèmes!$F$18*C15,0)))</f>
        <v/>
      </c>
      <c r="J26" s="298" t="str">
        <f t="shared" si="7"/>
        <v/>
      </c>
      <c r="K26" s="298" t="str">
        <f>IF(A26="","",IF(SYNTHESE!E44="oui",(L26*2)+(M26*2),(L26+M26)))</f>
        <v/>
      </c>
      <c r="L26" s="218" t="str">
        <f>IF(B26="","",IF(O15="oui",IF(SYNTHESE!I44="oui",IF(D15=1,C15*Barèmes!$E$19,IF(D15=2,C15*Barèmes!$F$19,0)),IF(SYNTHESE!I44="non",0))))</f>
        <v/>
      </c>
      <c r="M26" s="218" t="str">
        <f>IF(B26="","",IF(O15="oui",IF(SYNTHESE!J44="oui",IF(D15=1,C15*Barèmes!$E$20,IF(D15=2,C15*Barèmes!$F$20,0)),0)))</f>
        <v/>
      </c>
      <c r="N26" s="220">
        <f>IF(A15=" "," ",IF(D15=1,Barèmes!$E$21*'calcul haies'!Q15,IF('calcul haies'!D15=2,Barèmes!$F$21*'calcul haies'!Q15,0)))</f>
        <v>0</v>
      </c>
      <c r="O26" s="220">
        <f>IF(B26=" "," ",IF(D15=1,Barèmes!$E$22*'calcul haies'!R15,IF(D15=2,Barèmes!$F$22*'calcul haies'!R15,0)))</f>
        <v>0</v>
      </c>
      <c r="P26" s="218" t="str">
        <f>IF(B26="","",IF(D15=1,Barèmes!$E$23*C15,IF(D15=2,Barèmes!$F$23*C15,0)))</f>
        <v/>
      </c>
      <c r="Q26" s="218" t="str">
        <f t="shared" si="8"/>
        <v/>
      </c>
    </row>
    <row r="27" spans="1:20" ht="15.75" thickBot="1" x14ac:dyDescent="0.3">
      <c r="M27" s="247"/>
      <c r="Q27" s="42">
        <f>SUM(Q21:Q26)</f>
        <v>2631.94</v>
      </c>
    </row>
    <row r="30" spans="1:20" x14ac:dyDescent="0.25">
      <c r="D30" s="290"/>
    </row>
    <row r="31" spans="1:20" x14ac:dyDescent="0.25">
      <c r="D31" s="296"/>
    </row>
    <row r="33" spans="1:3" x14ac:dyDescent="0.25">
      <c r="A33" t="s">
        <v>49</v>
      </c>
    </row>
    <row r="34" spans="1:3" x14ac:dyDescent="0.25">
      <c r="A34" t="s">
        <v>50</v>
      </c>
      <c r="B34">
        <v>1</v>
      </c>
      <c r="C34" t="s">
        <v>50</v>
      </c>
    </row>
    <row r="35" spans="1:3" x14ac:dyDescent="0.25">
      <c r="A35" t="s">
        <v>51</v>
      </c>
      <c r="B35">
        <v>2</v>
      </c>
      <c r="C35" t="s">
        <v>51</v>
      </c>
    </row>
    <row r="38" spans="1:3" x14ac:dyDescent="0.25">
      <c r="A38" t="s">
        <v>127</v>
      </c>
    </row>
    <row r="39" spans="1:3" x14ac:dyDescent="0.25">
      <c r="A39" t="s">
        <v>128</v>
      </c>
    </row>
    <row r="40" spans="1:3" x14ac:dyDescent="0.25">
      <c r="A40" t="s">
        <v>51</v>
      </c>
    </row>
  </sheetData>
  <sheetProtection algorithmName="SHA-512" hashValue="quy+wYYyKKpO9H5LVVgnne+cwlfdNZKPVaQwSd2fyKWnR4LKCMdUuLtZZmXQx/bdsZAAFgPk7i/PgWlBSoreqw==" saltValue="Xr/YBZBZ3h2R3m4HldRw0A==" spinCount="100000" sheet="1" selectLockedCells="1" selectUnlockedCells="1"/>
  <mergeCells count="20">
    <mergeCell ref="A19:B19"/>
    <mergeCell ref="I19:I20"/>
    <mergeCell ref="P19:P20"/>
    <mergeCell ref="O8:O9"/>
    <mergeCell ref="A8:B8"/>
    <mergeCell ref="N8:N9"/>
    <mergeCell ref="D19:D20"/>
    <mergeCell ref="C19:C20"/>
    <mergeCell ref="E19:H19"/>
    <mergeCell ref="I8:I9"/>
    <mergeCell ref="H8:H9"/>
    <mergeCell ref="C8:G8"/>
    <mergeCell ref="J8:M8"/>
    <mergeCell ref="R8:R9"/>
    <mergeCell ref="J19:O19"/>
    <mergeCell ref="S8:S9"/>
    <mergeCell ref="Q19:Q20"/>
    <mergeCell ref="P8:P9"/>
    <mergeCell ref="Q8:Q9"/>
    <mergeCell ref="R20:T20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32"/>
  <sheetViews>
    <sheetView showGridLines="0" topLeftCell="B1" zoomScale="80" zoomScaleNormal="80" workbookViewId="0">
      <selection activeCell="B10" sqref="B10"/>
    </sheetView>
  </sheetViews>
  <sheetFormatPr baseColWidth="10" defaultRowHeight="15" x14ac:dyDescent="0.25"/>
  <cols>
    <col min="1" max="1" width="16.5703125" customWidth="1"/>
    <col min="2" max="2" width="15.85546875" customWidth="1"/>
    <col min="4" max="6" width="14.42578125" customWidth="1"/>
    <col min="7" max="7" width="17.42578125" customWidth="1"/>
    <col min="8" max="8" width="16.42578125" customWidth="1"/>
    <col min="9" max="9" width="16" customWidth="1"/>
    <col min="10" max="10" width="20.28515625" customWidth="1"/>
    <col min="11" max="11" width="18.42578125" customWidth="1"/>
    <col min="12" max="12" width="18.140625" customWidth="1"/>
    <col min="13" max="13" width="18" customWidth="1"/>
    <col min="14" max="14" width="18.140625" customWidth="1"/>
    <col min="15" max="15" width="19.42578125" customWidth="1"/>
    <col min="16" max="16" width="17.140625" customWidth="1"/>
    <col min="17" max="17" width="16.140625" customWidth="1"/>
  </cols>
  <sheetData>
    <row r="2" spans="1:13" ht="26.25" x14ac:dyDescent="0.25">
      <c r="A2" s="7" t="s">
        <v>204</v>
      </c>
    </row>
    <row r="3" spans="1:13" ht="18.75" x14ac:dyDescent="0.25">
      <c r="A3" s="8" t="s">
        <v>15</v>
      </c>
    </row>
    <row r="4" spans="1:13" ht="18.75" x14ac:dyDescent="0.25">
      <c r="A4" s="8" t="s">
        <v>73</v>
      </c>
    </row>
    <row r="8" spans="1:13" ht="32.1" customHeight="1" x14ac:dyDescent="0.25">
      <c r="A8" s="464" t="s">
        <v>30</v>
      </c>
      <c r="B8" s="464"/>
      <c r="C8" s="466" t="s">
        <v>31</v>
      </c>
      <c r="D8" s="458"/>
      <c r="E8" s="459"/>
      <c r="F8" s="455" t="s">
        <v>57</v>
      </c>
      <c r="G8" s="455" t="s">
        <v>265</v>
      </c>
      <c r="H8" s="455" t="s">
        <v>61</v>
      </c>
      <c r="I8" s="455" t="s">
        <v>295</v>
      </c>
      <c r="J8" s="455" t="s">
        <v>294</v>
      </c>
      <c r="K8" s="455" t="s">
        <v>224</v>
      </c>
      <c r="L8" s="455" t="s">
        <v>239</v>
      </c>
      <c r="M8" s="308" t="s">
        <v>77</v>
      </c>
    </row>
    <row r="9" spans="1:13" ht="30" x14ac:dyDescent="0.25">
      <c r="A9" s="63" t="s">
        <v>83</v>
      </c>
      <c r="B9" s="63" t="s">
        <v>84</v>
      </c>
      <c r="C9" s="183" t="s">
        <v>230</v>
      </c>
      <c r="D9" s="183" t="s">
        <v>232</v>
      </c>
      <c r="E9" s="183" t="s">
        <v>231</v>
      </c>
      <c r="F9" s="456"/>
      <c r="G9" s="456"/>
      <c r="H9" s="456"/>
      <c r="I9" s="456"/>
      <c r="J9" s="456"/>
      <c r="K9" s="456"/>
      <c r="L9" s="456"/>
      <c r="M9" s="308"/>
    </row>
    <row r="10" spans="1:13" x14ac:dyDescent="0.25">
      <c r="A10" s="33">
        <f>IF(SYNTHESE!A55="","",SYNTHESE!A55)</f>
        <v>2</v>
      </c>
      <c r="B10" s="33">
        <f>IF(SYNTHESE!B55="","",SYNTHESE!B55)</f>
        <v>2</v>
      </c>
      <c r="C10" s="33">
        <f>IF(SYNTHESE!B55="","",SYNTHESE!C55)</f>
        <v>200</v>
      </c>
      <c r="D10" s="34">
        <f>IF(A10="","",SYNTHESE!D55)</f>
        <v>52</v>
      </c>
      <c r="E10" s="34">
        <f>IF(A10="","",SYNTHESE!E55)</f>
        <v>10</v>
      </c>
      <c r="F10" s="34" t="str">
        <f>IF(A10="","","oui")</f>
        <v>oui</v>
      </c>
      <c r="G10" s="155" t="str">
        <f>IF(A10="","",IF(((SYNTHESE!F55+SYNTHESE!G55+SYNTHESE!H55+SYNTHESE!I55)/(SYNTHESE!D55+SYNTHESE!E55))&lt;0.5,"erreurVL","oui"))</f>
        <v>oui</v>
      </c>
      <c r="H10" s="34" t="str">
        <f>IF(B10="","","oui")</f>
        <v>oui</v>
      </c>
      <c r="I10" s="34" t="str">
        <f>IF(A10="","",IF(SYNTHESE!J55="oui","oui",IF(SYNTHESE!K55="oui","oui","erreur")))</f>
        <v>oui</v>
      </c>
      <c r="J10" s="34" t="str">
        <f>IF(A10="","",SYNTHESE!J55)</f>
        <v>non</v>
      </c>
      <c r="K10" s="34" t="str">
        <f>IF(B10="","",SYNTHESE!K55)</f>
        <v>oui</v>
      </c>
      <c r="L10" s="35">
        <f>IF(B10="","",IF(SYNTHESE!K55="oui",((SYNTHESE!D55+SYNTHESE!E55)*SYNTHESE!L55),0))</f>
        <v>26.04</v>
      </c>
      <c r="M10" s="34" t="str">
        <f>IF(B10="","","oui")</f>
        <v>oui</v>
      </c>
    </row>
    <row r="11" spans="1:13" x14ac:dyDescent="0.25">
      <c r="A11" s="33" t="str">
        <f>IF(SYNTHESE!A56="","",SYNTHESE!A56)</f>
        <v/>
      </c>
      <c r="B11" s="33" t="str">
        <f>IF(SYNTHESE!B56="","",SYNTHESE!B56)</f>
        <v/>
      </c>
      <c r="C11" s="33" t="str">
        <f>IF(SYNTHESE!C56="","",SYNTHESE!C56)</f>
        <v/>
      </c>
      <c r="D11" s="34" t="str">
        <f>IF(A11="","",SYNTHESE!D56)</f>
        <v/>
      </c>
      <c r="E11" s="34" t="str">
        <f>IF(A11="","",SYNTHESE!E56)</f>
        <v/>
      </c>
      <c r="F11" s="34" t="str">
        <f>IF(A11="","","oui")</f>
        <v/>
      </c>
      <c r="G11" s="155" t="str">
        <f>IF(A11="","",IF(((SYNTHESE!F56+SYNTHESE!G56+SYNTHESE!H56+SYNTHESE!I56)/(SYNTHESE!D56+SYNTHESE!E56))&lt;0.5,"erreurVL","oui"))</f>
        <v/>
      </c>
      <c r="H11" s="34" t="str">
        <f>IF(B11="","","oui")</f>
        <v/>
      </c>
      <c r="I11" s="34" t="str">
        <f>IF(A11="","",IF(SYNTHESE!J56="oui","oui",IF(SYNTHESE!K56="oui","oui","erreur")))</f>
        <v/>
      </c>
      <c r="J11" s="34" t="str">
        <f>IF(A11="","",SYNTHESE!J56)</f>
        <v/>
      </c>
      <c r="K11" s="34" t="str">
        <f>IF(B11="","",SYNTHESE!K56)</f>
        <v/>
      </c>
      <c r="L11" s="35" t="str">
        <f>IF(B11="","",IF(SYNTHESE!K56="oui",((SYNTHESE!D56+SYNTHESE!E56)*SYNTHESE!L56),0))</f>
        <v/>
      </c>
      <c r="M11" s="34" t="str">
        <f>IF(B11="","","oui")</f>
        <v/>
      </c>
    </row>
    <row r="12" spans="1:13" x14ac:dyDescent="0.25">
      <c r="A12" s="33" t="str">
        <f>IF(SYNTHESE!A57="","",SYNTHESE!A57)</f>
        <v/>
      </c>
      <c r="B12" s="33" t="str">
        <f>IF(SYNTHESE!B57="","",SYNTHESE!B57)</f>
        <v/>
      </c>
      <c r="C12" s="33" t="str">
        <f>IF(SYNTHESE!C57="","",SYNTHESE!C57)</f>
        <v/>
      </c>
      <c r="D12" s="34" t="str">
        <f>IF(A12="","",SYNTHESE!D57)</f>
        <v/>
      </c>
      <c r="E12" s="34" t="str">
        <f>IF(A12="","",SYNTHESE!E57)</f>
        <v/>
      </c>
      <c r="F12" s="34" t="str">
        <f>IF(A12="","","oui")</f>
        <v/>
      </c>
      <c r="G12" s="155" t="str">
        <f>IF(A12="","",IF(((SYNTHESE!F57+SYNTHESE!G57+SYNTHESE!H57+SYNTHESE!I57)/(SYNTHESE!D57+SYNTHESE!E57))&lt;0.5,"erreurVL","oui"))</f>
        <v/>
      </c>
      <c r="H12" s="34" t="str">
        <f>IF(B12="","","oui")</f>
        <v/>
      </c>
      <c r="I12" s="34" t="str">
        <f>IF(A12="","",IF(SYNTHESE!J57="oui","oui",IF(SYNTHESE!K57="oui","oui","erreur")))</f>
        <v/>
      </c>
      <c r="J12" s="34" t="str">
        <f>IF(A12="","",SYNTHESE!J57)</f>
        <v/>
      </c>
      <c r="K12" s="34" t="str">
        <f>IF(B12="","",SYNTHESE!K57)</f>
        <v/>
      </c>
      <c r="L12" s="35" t="str">
        <f>IF(B12="","",IF(SYNTHESE!K57="oui",((SYNTHESE!D57+SYNTHESE!E57)*SYNTHESE!L57),0))</f>
        <v/>
      </c>
      <c r="M12" s="34" t="str">
        <f>IF(B12="","","oui")</f>
        <v/>
      </c>
    </row>
    <row r="13" spans="1:13" x14ac:dyDescent="0.25">
      <c r="A13" s="33" t="str">
        <f>IF(SYNTHESE!A58="","",SYNTHESE!A58)</f>
        <v/>
      </c>
      <c r="B13" s="33" t="str">
        <f>IF(SYNTHESE!B58="","",SYNTHESE!B58)</f>
        <v/>
      </c>
      <c r="C13" s="33" t="str">
        <f>IF(SYNTHESE!C58="","",SYNTHESE!C58)</f>
        <v/>
      </c>
      <c r="D13" s="34" t="str">
        <f>IF(A13="","",SYNTHESE!D58)</f>
        <v/>
      </c>
      <c r="E13" s="34" t="str">
        <f>IF(A13="","",SYNTHESE!E58)</f>
        <v/>
      </c>
      <c r="F13" s="34" t="str">
        <f>IF(A13="","","oui")</f>
        <v/>
      </c>
      <c r="G13" s="155" t="str">
        <f>IF(A13="","",IF(((SYNTHESE!F58+SYNTHESE!G58+SYNTHESE!H58+SYNTHESE!I58)/(SYNTHESE!D58+SYNTHESE!E58))&lt;0.5,"erreurVL","oui"))</f>
        <v/>
      </c>
      <c r="H13" s="34" t="str">
        <f>IF(B13="","","oui")</f>
        <v/>
      </c>
      <c r="I13" s="34" t="str">
        <f>IF(A13="","",IF(SYNTHESE!J58="oui","oui",IF(SYNTHESE!K58="oui","oui","erreur")))</f>
        <v/>
      </c>
      <c r="J13" s="34" t="str">
        <f>IF(A13="","",SYNTHESE!J58)</f>
        <v/>
      </c>
      <c r="K13" s="34" t="str">
        <f>IF(B13="","",SYNTHESE!K58)</f>
        <v/>
      </c>
      <c r="L13" s="35" t="str">
        <f>IF(B13="","",IF(SYNTHESE!K58="oui",((SYNTHESE!D58+SYNTHESE!E58)*SYNTHESE!L58),0))</f>
        <v/>
      </c>
      <c r="M13" s="34" t="str">
        <f>IF(B13="","","oui")</f>
        <v/>
      </c>
    </row>
    <row r="14" spans="1:13" x14ac:dyDescent="0.25">
      <c r="A14" s="33" t="str">
        <f>IF(SYNTHESE!A59="","",SYNTHESE!A59)</f>
        <v/>
      </c>
      <c r="B14" s="33" t="str">
        <f>IF(SYNTHESE!B59="","",SYNTHESE!B59)</f>
        <v/>
      </c>
      <c r="C14" s="33" t="str">
        <f>IF(SYNTHESE!C59="","",SYNTHESE!C59)</f>
        <v/>
      </c>
      <c r="D14" s="34" t="str">
        <f>IF(A14="","",SYNTHESE!D59)</f>
        <v/>
      </c>
      <c r="E14" s="34" t="str">
        <f>IF(A14="","",SYNTHESE!E59)</f>
        <v/>
      </c>
      <c r="F14" s="34" t="str">
        <f>IF(A14="","","oui")</f>
        <v/>
      </c>
      <c r="G14" s="155" t="str">
        <f>IF(A14="","",IF(((SYNTHESE!F59+SYNTHESE!G59+SYNTHESE!H59+SYNTHESE!I59)/(SYNTHESE!D59+SYNTHESE!E59))&lt;0.5,"erreurVL","oui"))</f>
        <v/>
      </c>
      <c r="H14" s="34" t="str">
        <f>IF(B14="","","oui")</f>
        <v/>
      </c>
      <c r="I14" s="34" t="str">
        <f>IF(A14="","",IF(SYNTHESE!J59="oui","oui",IF(SYNTHESE!K59="oui","oui","erreur")))</f>
        <v/>
      </c>
      <c r="J14" s="34" t="str">
        <f>IF(A14="","",SYNTHESE!J59)</f>
        <v/>
      </c>
      <c r="K14" s="34" t="str">
        <f>IF(B14="","",SYNTHESE!K59)</f>
        <v/>
      </c>
      <c r="L14" s="35" t="str">
        <f>IF(B14="","",IF(SYNTHESE!K59="oui",((SYNTHESE!D59+SYNTHESE!E59)*SYNTHESE!L59),0))</f>
        <v/>
      </c>
      <c r="M14" s="34" t="str">
        <f>IF(B14="","","oui")</f>
        <v/>
      </c>
    </row>
    <row r="16" spans="1:13" x14ac:dyDescent="0.25">
      <c r="A16" s="40" t="s">
        <v>65</v>
      </c>
      <c r="C16" s="278"/>
    </row>
    <row r="17" spans="1:18" x14ac:dyDescent="0.25">
      <c r="P17" s="278"/>
      <c r="Q17" s="278"/>
    </row>
    <row r="18" spans="1:18" ht="36" customHeight="1" x14ac:dyDescent="0.25">
      <c r="A18" s="464" t="s">
        <v>30</v>
      </c>
      <c r="B18" s="464"/>
      <c r="C18" s="460" t="s">
        <v>57</v>
      </c>
      <c r="D18" s="460"/>
      <c r="E18" s="460" t="s">
        <v>241</v>
      </c>
      <c r="F18" s="460"/>
      <c r="G18" s="460"/>
      <c r="H18" s="460"/>
      <c r="I18" s="466" t="s">
        <v>242</v>
      </c>
      <c r="J18" s="467"/>
      <c r="K18" s="467"/>
      <c r="L18" s="468"/>
      <c r="M18" s="460" t="s">
        <v>61</v>
      </c>
      <c r="N18" s="455" t="s">
        <v>76</v>
      </c>
      <c r="O18" s="460" t="s">
        <v>78</v>
      </c>
      <c r="P18" s="455" t="s">
        <v>62</v>
      </c>
      <c r="Q18" s="461" t="s">
        <v>71</v>
      </c>
      <c r="R18" s="278"/>
    </row>
    <row r="19" spans="1:18" ht="30" x14ac:dyDescent="0.25">
      <c r="A19" s="209" t="s">
        <v>52</v>
      </c>
      <c r="B19" s="209" t="s">
        <v>53</v>
      </c>
      <c r="C19" s="460"/>
      <c r="D19" s="460"/>
      <c r="E19" s="209" t="s">
        <v>246</v>
      </c>
      <c r="F19" s="209" t="s">
        <v>247</v>
      </c>
      <c r="G19" s="209" t="s">
        <v>248</v>
      </c>
      <c r="H19" s="209" t="s">
        <v>249</v>
      </c>
      <c r="I19" s="209" t="s">
        <v>243</v>
      </c>
      <c r="J19" s="209" t="s">
        <v>244</v>
      </c>
      <c r="K19" s="209" t="s">
        <v>233</v>
      </c>
      <c r="L19" s="209" t="s">
        <v>245</v>
      </c>
      <c r="M19" s="460"/>
      <c r="N19" s="456"/>
      <c r="O19" s="460"/>
      <c r="P19" s="456"/>
      <c r="Q19" s="461"/>
    </row>
    <row r="20" spans="1:18" x14ac:dyDescent="0.25">
      <c r="A20" s="34">
        <f t="shared" ref="A20:B23" si="0">A10</f>
        <v>2</v>
      </c>
      <c r="B20" s="34">
        <f t="shared" si="0"/>
        <v>2</v>
      </c>
      <c r="C20" s="472">
        <f>IF(B20="","",Barèmes!$E$31*('calcul AIP'!D10+E10))</f>
        <v>411.68</v>
      </c>
      <c r="D20" s="472"/>
      <c r="E20" s="37">
        <f>IF(A20="","",IF(G10="oui",F20+G20+H20,"erreurVL"))</f>
        <v>200.32</v>
      </c>
      <c r="F20" s="37">
        <f>IF(A20="","",Barèmes!$E$33*SYNTHESE!F55)</f>
        <v>169.73999999999998</v>
      </c>
      <c r="G20" s="37">
        <f>IF(A20="","",Barèmes!$E$34*SYNTHESE!G55)</f>
        <v>0</v>
      </c>
      <c r="H20" s="37">
        <f>IF(A20="","",(D10-SYNTHESE!F55-SYNTHESE!G55)*Barèmes!$E$32)</f>
        <v>30.58</v>
      </c>
      <c r="I20" s="37">
        <f>IF(A20="","",IF(G10="oui",20+K20+L20,"erreurVL"))</f>
        <v>-25.72</v>
      </c>
      <c r="J20" s="37">
        <f>IF(A20="","",Barèmes!$E$36*SYNTHESE!H55)</f>
        <v>91.8</v>
      </c>
      <c r="K20" s="37">
        <f>IF(A20="","",Barèmes!$E$37*SYNTHESE!I55)</f>
        <v>2.58</v>
      </c>
      <c r="L20" s="37">
        <f>IF(A20="","",(SYNTHESE!E55-SYNTHESE!H55-SYNTHESE!I55)*Barèmes!$E$35)</f>
        <v>-48.3</v>
      </c>
      <c r="M20" s="37">
        <f>IF(B20="","",Barèmes!$E$38*(SYNTHESE!D55+SYNTHESE!E55))</f>
        <v>300.7</v>
      </c>
      <c r="N20" s="309" t="str">
        <f>IF(A20="","",IF(I10="oui",IF(J10="oui",Barèmes!$E$40*(SYNTHESE!D55+SYNTHESE!E55),"0")))</f>
        <v>0</v>
      </c>
      <c r="O20" s="37">
        <f>IF(A20="","",IF(I10="oui",(L10*Barèmes!$E$39),"erreur"))</f>
        <v>182.54039999999998</v>
      </c>
      <c r="P20" s="233">
        <f>IF(A20="","",Barèmes!$E$41*SYNTHESE!D55)</f>
        <v>234.51999999999998</v>
      </c>
      <c r="Q20" s="234">
        <f>IF(B20="","",C20+E20+I20+M20+N20+O20+P20)</f>
        <v>1304.0403999999999</v>
      </c>
    </row>
    <row r="21" spans="1:18" x14ac:dyDescent="0.25">
      <c r="A21" s="34" t="str">
        <f t="shared" si="0"/>
        <v/>
      </c>
      <c r="B21" s="34" t="str">
        <f t="shared" si="0"/>
        <v/>
      </c>
      <c r="C21" s="472" t="str">
        <f>IF(B21="","",Barèmes!$E$31*('calcul AIP'!D11+E11))</f>
        <v/>
      </c>
      <c r="D21" s="472"/>
      <c r="E21" s="37" t="str">
        <f t="shared" ref="E21:E25" si="1">IF(A21="","",IF(G11="oui",F21+G21+H21,"erreurVL"))</f>
        <v/>
      </c>
      <c r="F21" s="37" t="str">
        <f>IF(A21="","",Barèmes!$E$33*SYNTHESE!F56)</f>
        <v/>
      </c>
      <c r="G21" s="37" t="str">
        <f>IF(A21="","",Barèmes!$E$34*SYNTHESE!G56)</f>
        <v/>
      </c>
      <c r="H21" s="37" t="str">
        <f>IF(A21="","",(D11-SYNTHESE!F56-SYNTHESE!G56)*Barèmes!$E$32)</f>
        <v/>
      </c>
      <c r="I21" s="37" t="str">
        <f t="shared" ref="I21:I25" si="2">IF(A21="","",IF(G11="oui",20+K21+L21,"erreurVL"))</f>
        <v/>
      </c>
      <c r="J21" s="37" t="str">
        <f>IF(A21="","",Barèmes!$E$36*SYNTHESE!H56)</f>
        <v/>
      </c>
      <c r="K21" s="37" t="str">
        <f>IF(A21="","",Barèmes!$E$37*SYNTHESE!I56)</f>
        <v/>
      </c>
      <c r="L21" s="37" t="str">
        <f>IF(A21="","",(SYNTHESE!E56-SYNTHESE!H56-SYNTHESE!I56)*Barèmes!$E$35)</f>
        <v/>
      </c>
      <c r="M21" s="37" t="str">
        <f>IF(B21="","",Barèmes!$E$38*(SYNTHESE!D56+SYNTHESE!E56))</f>
        <v/>
      </c>
      <c r="N21" s="309" t="str">
        <f>IF(A21="","",IF(I11="oui",IF(J11="oui",Barèmes!$E$40*(SYNTHESE!D56+SYNTHESE!E56),"0")))</f>
        <v/>
      </c>
      <c r="O21" s="37" t="str">
        <f>IF(A21="","",IF(I11="oui",(L11*Barèmes!$E$39),"erreur"))</f>
        <v/>
      </c>
      <c r="P21" s="233" t="str">
        <f>IF(A21="","",Barèmes!$E$41*SYNTHESE!D56)</f>
        <v/>
      </c>
      <c r="Q21" s="234" t="str">
        <f t="shared" ref="Q21:Q25" si="3">IF(B21="","",C21+E21+I21+M21+N21+O21+P21)</f>
        <v/>
      </c>
    </row>
    <row r="22" spans="1:18" x14ac:dyDescent="0.25">
      <c r="A22" s="34" t="str">
        <f t="shared" si="0"/>
        <v/>
      </c>
      <c r="B22" s="34" t="str">
        <f t="shared" si="0"/>
        <v/>
      </c>
      <c r="C22" s="472" t="str">
        <f>IF(B22="","",Barèmes!$E$31*('calcul AIP'!D12+E12))</f>
        <v/>
      </c>
      <c r="D22" s="472"/>
      <c r="E22" s="37" t="str">
        <f t="shared" si="1"/>
        <v/>
      </c>
      <c r="F22" s="37" t="str">
        <f>IF(A22="","",Barèmes!$E$33*SYNTHESE!F57)</f>
        <v/>
      </c>
      <c r="G22" s="37" t="str">
        <f>IF(A22="","",Barèmes!$E$34*SYNTHESE!G57)</f>
        <v/>
      </c>
      <c r="H22" s="37" t="str">
        <f>IF(A22="","",(D12-SYNTHESE!F57-SYNTHESE!G57)*Barèmes!$E$32)</f>
        <v/>
      </c>
      <c r="I22" s="37" t="str">
        <f t="shared" si="2"/>
        <v/>
      </c>
      <c r="J22" s="37" t="str">
        <f>IF(A22="","",Barèmes!$E$36*SYNTHESE!H57)</f>
        <v/>
      </c>
      <c r="K22" s="37" t="str">
        <f>IF(A22="","",Barèmes!$E$37*SYNTHESE!I57)</f>
        <v/>
      </c>
      <c r="L22" s="37" t="str">
        <f>IF(A22="","",(SYNTHESE!E57-SYNTHESE!H57-SYNTHESE!I57)*Barèmes!$E$35)</f>
        <v/>
      </c>
      <c r="M22" s="37" t="str">
        <f>IF(B22="","",Barèmes!$E$38*(SYNTHESE!D57+SYNTHESE!E57))</f>
        <v/>
      </c>
      <c r="N22" s="309" t="str">
        <f>IF(A22="","",IF(I12="oui",IF(J12="oui",Barèmes!$E$40*(SYNTHESE!D57+SYNTHESE!E57),"0")))</f>
        <v/>
      </c>
      <c r="O22" s="37" t="str">
        <f>IF(A22="","",IF(I12="oui",(L12*Barèmes!$E$39),"erreur"))</f>
        <v/>
      </c>
      <c r="P22" s="233" t="str">
        <f>IF(A22="","",Barèmes!$E$41*SYNTHESE!D57)</f>
        <v/>
      </c>
      <c r="Q22" s="234" t="str">
        <f t="shared" si="3"/>
        <v/>
      </c>
    </row>
    <row r="23" spans="1:18" x14ac:dyDescent="0.25">
      <c r="A23" s="34" t="str">
        <f t="shared" si="0"/>
        <v/>
      </c>
      <c r="B23" s="34" t="str">
        <f t="shared" si="0"/>
        <v/>
      </c>
      <c r="C23" s="472" t="str">
        <f>IF(B23="","",Barèmes!$E$31*('calcul AIP'!D13+E13))</f>
        <v/>
      </c>
      <c r="D23" s="472"/>
      <c r="E23" s="37" t="str">
        <f t="shared" si="1"/>
        <v/>
      </c>
      <c r="F23" s="37" t="str">
        <f>IF(A23="","",Barèmes!$E$33*SYNTHESE!F58)</f>
        <v/>
      </c>
      <c r="G23" s="37" t="str">
        <f>IF(A23="","",Barèmes!$E$34*SYNTHESE!G58)</f>
        <v/>
      </c>
      <c r="H23" s="37" t="str">
        <f>IF(A23="","",(D13-SYNTHESE!F58-SYNTHESE!G58)*Barèmes!$E$32)</f>
        <v/>
      </c>
      <c r="I23" s="37" t="str">
        <f t="shared" si="2"/>
        <v/>
      </c>
      <c r="J23" s="37" t="str">
        <f>IF(A23="","",Barèmes!$E$36*SYNTHESE!H58)</f>
        <v/>
      </c>
      <c r="K23" s="37" t="str">
        <f>IF(A23="","",Barèmes!$E$37*SYNTHESE!I58)</f>
        <v/>
      </c>
      <c r="L23" s="37" t="str">
        <f>IF(A23="","",(SYNTHESE!E58-SYNTHESE!H58-SYNTHESE!I58)*Barèmes!$E$35)</f>
        <v/>
      </c>
      <c r="M23" s="37" t="str">
        <f>IF(B23="","",Barèmes!$E$38*(SYNTHESE!D58+SYNTHESE!E58))</f>
        <v/>
      </c>
      <c r="N23" s="309" t="str">
        <f>IF(A23="","",IF(I13="oui",IF(J13="oui",Barèmes!$E$40*(SYNTHESE!D58+SYNTHESE!E58),"0")))</f>
        <v/>
      </c>
      <c r="O23" s="37" t="str">
        <f>IF(A23="","",IF(I13="oui",(L13*Barèmes!$E$39),"erreur"))</f>
        <v/>
      </c>
      <c r="P23" s="233" t="str">
        <f>IF(A23="","",Barèmes!$E$41*SYNTHESE!D58)</f>
        <v/>
      </c>
      <c r="Q23" s="234" t="str">
        <f t="shared" si="3"/>
        <v/>
      </c>
    </row>
    <row r="24" spans="1:18" x14ac:dyDescent="0.25">
      <c r="A24" s="34"/>
      <c r="B24" s="34"/>
      <c r="C24" s="472" t="str">
        <f>IF(B24="","",Barèmes!$E$31*('calcul AIP'!D14+E14))</f>
        <v/>
      </c>
      <c r="D24" s="472"/>
      <c r="E24" s="37" t="str">
        <f t="shared" si="1"/>
        <v/>
      </c>
      <c r="F24" s="37" t="str">
        <f>IF(A24="","",Barèmes!$E$33*SYNTHESE!F59)</f>
        <v/>
      </c>
      <c r="G24" s="37" t="str">
        <f>IF(A24="","",Barèmes!$E$34*SYNTHESE!G59)</f>
        <v/>
      </c>
      <c r="H24" s="37" t="str">
        <f>IF(A24="","",(D14-SYNTHESE!F59-SYNTHESE!G59)*Barèmes!$E$32)</f>
        <v/>
      </c>
      <c r="I24" s="37" t="str">
        <f t="shared" si="2"/>
        <v/>
      </c>
      <c r="J24" s="37" t="str">
        <f>IF(A24="","",Barèmes!$E$36*SYNTHESE!H59)</f>
        <v/>
      </c>
      <c r="K24" s="37" t="str">
        <f>IF(A24="","",Barèmes!$E$37*SYNTHESE!I59)</f>
        <v/>
      </c>
      <c r="L24" s="37" t="str">
        <f>IF(A24="","",(SYNTHESE!E59-SYNTHESE!H59-SYNTHESE!I59)*Barèmes!$E$35)</f>
        <v/>
      </c>
      <c r="M24" s="37" t="str">
        <f>IF(B24="","",Barèmes!$E$38*(SYNTHESE!D59+SYNTHESE!E59))</f>
        <v/>
      </c>
      <c r="N24" s="309" t="str">
        <f>IF(A24="","",IF(I14="oui",IF(J14="oui",Barèmes!$E$40*(SYNTHESE!D59+SYNTHESE!E59),"0")))</f>
        <v/>
      </c>
      <c r="O24" s="37" t="str">
        <f>IF(A24="","",IF(I14="oui",(L14*Barèmes!$E$39),"erreur"))</f>
        <v/>
      </c>
      <c r="P24" s="233" t="str">
        <f>IF(A24="","",Barèmes!$E$41*SYNTHESE!D59)</f>
        <v/>
      </c>
      <c r="Q24" s="234" t="str">
        <f t="shared" si="3"/>
        <v/>
      </c>
    </row>
    <row r="25" spans="1:18" x14ac:dyDescent="0.25">
      <c r="A25" s="34" t="str">
        <f>A14</f>
        <v/>
      </c>
      <c r="B25" s="34" t="str">
        <f>B14</f>
        <v/>
      </c>
      <c r="C25" s="472" t="str">
        <f>IF(B25="","",Barèmes!$E$31*('calcul AIP'!D15+E15))</f>
        <v/>
      </c>
      <c r="D25" s="472"/>
      <c r="E25" s="37" t="str">
        <f t="shared" si="1"/>
        <v/>
      </c>
      <c r="F25" s="37" t="str">
        <f>IF(A25="","",Barèmes!$E$33*SYNTHESE!F60)</f>
        <v/>
      </c>
      <c r="G25" s="37" t="str">
        <f>IF(A25="","",Barèmes!$E$34*SYNTHESE!G60)</f>
        <v/>
      </c>
      <c r="H25" s="37" t="str">
        <f>IF(A25="","",(D15-SYNTHESE!F60-SYNTHESE!G60)*Barèmes!$E$32)</f>
        <v/>
      </c>
      <c r="I25" s="37" t="str">
        <f t="shared" si="2"/>
        <v/>
      </c>
      <c r="J25" s="37" t="str">
        <f>IF(A25="","",Barèmes!$E$36*SYNTHESE!H60)</f>
        <v/>
      </c>
      <c r="K25" s="37" t="str">
        <f>IF(A25="","",Barèmes!$E$37*SYNTHESE!I60)</f>
        <v/>
      </c>
      <c r="L25" s="37" t="str">
        <f>IF(A25="","",(SYNTHESE!E60-SYNTHESE!H60-SYNTHESE!I60)*Barèmes!$E$35)</f>
        <v/>
      </c>
      <c r="M25" s="37" t="str">
        <f>IF(B25="","",Barèmes!$E$38*(SYNTHESE!D60+SYNTHESE!E60))</f>
        <v/>
      </c>
      <c r="N25" s="309" t="str">
        <f>IF(A25="","",IF(I15="oui",IF(J15="oui",Barèmes!$E$40*(SYNTHESE!D60+SYNTHESE!E60),"0")))</f>
        <v/>
      </c>
      <c r="O25" s="37" t="str">
        <f>IF(A25="","",IF(I15="oui",(J15*Barèmes!$E$39),"erreur"))</f>
        <v/>
      </c>
      <c r="P25" s="233" t="str">
        <f>IF(A25="","",Barèmes!$E$41*SYNTHESE!D60)</f>
        <v/>
      </c>
      <c r="Q25" s="234" t="str">
        <f t="shared" si="3"/>
        <v/>
      </c>
    </row>
    <row r="26" spans="1:18" ht="15.75" thickBot="1" x14ac:dyDescent="0.3">
      <c r="Q26" s="62">
        <f>SUM(Q20:Q25)</f>
        <v>1304.0403999999999</v>
      </c>
    </row>
    <row r="28" spans="1:18" x14ac:dyDescent="0.25">
      <c r="F28" s="232"/>
      <c r="O28" s="292"/>
    </row>
    <row r="29" spans="1:18" x14ac:dyDescent="0.25">
      <c r="O29" s="296"/>
    </row>
    <row r="30" spans="1:18" x14ac:dyDescent="0.25">
      <c r="A30" t="s">
        <v>49</v>
      </c>
    </row>
    <row r="31" spans="1:18" x14ac:dyDescent="0.25">
      <c r="A31">
        <v>1</v>
      </c>
      <c r="B31" t="s">
        <v>50</v>
      </c>
    </row>
    <row r="32" spans="1:18" x14ac:dyDescent="0.25">
      <c r="A32">
        <v>2</v>
      </c>
      <c r="B32" t="s">
        <v>51</v>
      </c>
    </row>
  </sheetData>
  <sheetProtection algorithmName="SHA-512" hashValue="em03xy8LHdax7Js/r+QiVug/+LDwS6VPXa6iZOCMCtGBsru/KN0QbFUHvU/alEWCgfb+ZaqJjGcNUcWcJUSZ3g==" saltValue="6ueuu0ice3qQRhUGbzLRrQ==" spinCount="100000" sheet="1" objects="1" scenarios="1" selectLockedCells="1" selectUnlockedCells="1"/>
  <mergeCells count="24">
    <mergeCell ref="J8:J9"/>
    <mergeCell ref="C23:D23"/>
    <mergeCell ref="C24:D24"/>
    <mergeCell ref="C25:D25"/>
    <mergeCell ref="C18:D19"/>
    <mergeCell ref="C20:D20"/>
    <mergeCell ref="C21:D21"/>
    <mergeCell ref="C22:D22"/>
    <mergeCell ref="M18:M19"/>
    <mergeCell ref="Q18:Q19"/>
    <mergeCell ref="A8:B8"/>
    <mergeCell ref="L8:L9"/>
    <mergeCell ref="I8:I9"/>
    <mergeCell ref="F8:F9"/>
    <mergeCell ref="C8:E8"/>
    <mergeCell ref="H8:H9"/>
    <mergeCell ref="G8:G9"/>
    <mergeCell ref="O18:O19"/>
    <mergeCell ref="P18:P19"/>
    <mergeCell ref="I18:L18"/>
    <mergeCell ref="N18:N19"/>
    <mergeCell ref="K8:K9"/>
    <mergeCell ref="A18:B18"/>
    <mergeCell ref="E18:H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30"/>
  <sheetViews>
    <sheetView showGridLines="0" topLeftCell="A3" zoomScale="70" zoomScaleNormal="70" workbookViewId="0">
      <selection activeCell="B10" sqref="B10"/>
    </sheetView>
  </sheetViews>
  <sheetFormatPr baseColWidth="10" defaultRowHeight="15" x14ac:dyDescent="0.25"/>
  <cols>
    <col min="1" max="1" width="16.42578125" customWidth="1"/>
    <col min="2" max="2" width="16.7109375" customWidth="1"/>
    <col min="3" max="7" width="14.85546875" customWidth="1"/>
    <col min="8" max="8" width="18.5703125" customWidth="1"/>
    <col min="9" max="9" width="18.42578125" customWidth="1"/>
    <col min="10" max="10" width="17" customWidth="1"/>
    <col min="11" max="12" width="15.85546875" customWidth="1"/>
    <col min="13" max="13" width="10.85546875" customWidth="1"/>
  </cols>
  <sheetData>
    <row r="2" spans="1:13" ht="26.25" x14ac:dyDescent="0.25">
      <c r="A2" s="7" t="s">
        <v>204</v>
      </c>
    </row>
    <row r="3" spans="1:13" ht="18.75" x14ac:dyDescent="0.25">
      <c r="A3" s="8" t="s">
        <v>15</v>
      </c>
    </row>
    <row r="4" spans="1:13" ht="18.75" x14ac:dyDescent="0.25">
      <c r="A4" s="8" t="s">
        <v>97</v>
      </c>
    </row>
    <row r="6" spans="1:13" x14ac:dyDescent="0.25">
      <c r="A6" s="14" t="s">
        <v>101</v>
      </c>
    </row>
    <row r="7" spans="1:13" x14ac:dyDescent="0.25">
      <c r="A7" s="14" t="s">
        <v>103</v>
      </c>
    </row>
    <row r="8" spans="1:13" x14ac:dyDescent="0.25"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10" spans="1:13" ht="43.5" customHeight="1" x14ac:dyDescent="0.25">
      <c r="A10" s="464" t="s">
        <v>30</v>
      </c>
      <c r="B10" s="464"/>
      <c r="C10" s="253" t="s">
        <v>90</v>
      </c>
      <c r="D10" s="466" t="s">
        <v>0</v>
      </c>
      <c r="E10" s="467"/>
      <c r="F10" s="467"/>
      <c r="G10" s="468"/>
      <c r="H10" s="455" t="s">
        <v>61</v>
      </c>
      <c r="I10" s="455" t="s">
        <v>93</v>
      </c>
      <c r="J10" s="455" t="s">
        <v>94</v>
      </c>
    </row>
    <row r="11" spans="1:13" ht="30" x14ac:dyDescent="0.25">
      <c r="A11" s="69" t="s">
        <v>52</v>
      </c>
      <c r="B11" s="69" t="s">
        <v>111</v>
      </c>
      <c r="C11" s="69" t="s">
        <v>136</v>
      </c>
      <c r="D11" s="69" t="s">
        <v>92</v>
      </c>
      <c r="E11" s="69" t="s">
        <v>58</v>
      </c>
      <c r="F11" s="69" t="s">
        <v>60</v>
      </c>
      <c r="G11" s="69" t="s">
        <v>59</v>
      </c>
      <c r="H11" s="456"/>
      <c r="I11" s="456"/>
      <c r="J11" s="456"/>
    </row>
    <row r="12" spans="1:13" x14ac:dyDescent="0.25">
      <c r="A12" s="71" t="str">
        <f>IF(SYNTHESE!A71="","",SYNTHESE!A71)</f>
        <v/>
      </c>
      <c r="B12" s="71" t="str">
        <f>IF('calcul BOS'!A12="","",SYNTHESE!B71)</f>
        <v/>
      </c>
      <c r="C12" s="71" t="str">
        <f>IF(B12="","",IF(AND(SYNTHESE!C71&gt;=100,SYNTHESE!C71&lt;=5000),SYNTHESE!C71,"erreur"))</f>
        <v/>
      </c>
      <c r="D12" s="73" t="str">
        <f>IF(B12="","",IF((SYNTHESE!D71+SYNTHESE!E71)&lt;0.5,"ErreurVL+MFR","oui"))</f>
        <v/>
      </c>
      <c r="E12" s="72" t="str">
        <f>IF(B12="","",SYNTHESE!D71*20)</f>
        <v/>
      </c>
      <c r="F12" s="72" t="str">
        <f>IF(C12="","",SYNTHESE!E71*20)</f>
        <v/>
      </c>
      <c r="G12" s="72" t="str">
        <f>IF(D12="","",20-E12-F12)</f>
        <v/>
      </c>
      <c r="H12" s="71" t="str">
        <f>IF(B12="","","oui")</f>
        <v/>
      </c>
      <c r="I12" s="71" t="str">
        <f>IF(B12="","","oui")</f>
        <v/>
      </c>
      <c r="J12" s="71" t="str">
        <f>IF(B12="","","oui")</f>
        <v/>
      </c>
    </row>
    <row r="13" spans="1:13" x14ac:dyDescent="0.25">
      <c r="A13" s="71" t="str">
        <f>IF(SYNTHESE!A72="","",SYNTHESE!A72)</f>
        <v/>
      </c>
      <c r="B13" s="71" t="str">
        <f>IF('calcul BOS'!A13="","",SYNTHESE!B72)</f>
        <v/>
      </c>
      <c r="C13" s="71" t="str">
        <f>IF(B13="","",IF(AND(SYNTHESE!C72&gt;=100,SYNTHESE!C72&lt;=5000),SYNTHESE!C72,"erreur"))</f>
        <v/>
      </c>
      <c r="D13" s="73" t="str">
        <f>IF(B13="","",IF((SYNTHESE!D72+SYNTHESE!E72)&lt;0.5,"ErreurVL+MFR","oui"))</f>
        <v/>
      </c>
      <c r="E13" s="72" t="str">
        <f>IF(B13="","",SYNTHESE!D72*20)</f>
        <v/>
      </c>
      <c r="F13" s="72" t="str">
        <f>IF(C13="","",SYNTHESE!E72*20)</f>
        <v/>
      </c>
      <c r="G13" s="72" t="str">
        <f t="shared" ref="G13:G16" si="0">IF(D13="","",20-E13-F13)</f>
        <v/>
      </c>
      <c r="H13" s="71" t="str">
        <f>IF(B13="","","oui")</f>
        <v/>
      </c>
      <c r="I13" s="71" t="str">
        <f>IF(B13="","","oui")</f>
        <v/>
      </c>
      <c r="J13" s="71" t="str">
        <f>IF(B13="","","oui")</f>
        <v/>
      </c>
    </row>
    <row r="14" spans="1:13" x14ac:dyDescent="0.25">
      <c r="A14" s="71" t="str">
        <f>IF(SYNTHESE!A73="","",SYNTHESE!A73)</f>
        <v/>
      </c>
      <c r="B14" s="71" t="str">
        <f>IF('calcul BOS'!A14="","",SYNTHESE!B73)</f>
        <v/>
      </c>
      <c r="C14" s="71" t="str">
        <f>IF(B14="","",IF(AND(SYNTHESE!C73&gt;=100,SYNTHESE!C73&lt;=5000),SYNTHESE!C73,"erreur"))</f>
        <v/>
      </c>
      <c r="D14" s="73" t="str">
        <f>IF(B14="","",IF((SYNTHESE!D73+SYNTHESE!E73)&lt;0.5,"ErreurVL+MFR","oui"))</f>
        <v/>
      </c>
      <c r="E14" s="72" t="str">
        <f>IF(B14="","",SYNTHESE!D73*20)</f>
        <v/>
      </c>
      <c r="F14" s="72" t="str">
        <f>IF(C14="","",SYNTHESE!E73*20)</f>
        <v/>
      </c>
      <c r="G14" s="72" t="str">
        <f t="shared" si="0"/>
        <v/>
      </c>
      <c r="H14" s="71" t="str">
        <f>IF(B14="","","oui")</f>
        <v/>
      </c>
      <c r="I14" s="71" t="str">
        <f>IF(B14="","","oui")</f>
        <v/>
      </c>
      <c r="J14" s="71" t="str">
        <f>IF(B14="","","oui")</f>
        <v/>
      </c>
    </row>
    <row r="15" spans="1:13" x14ac:dyDescent="0.25">
      <c r="A15" s="71" t="str">
        <f>IF(SYNTHESE!A74="","",SYNTHESE!A74)</f>
        <v/>
      </c>
      <c r="B15" s="71" t="str">
        <f>IF('calcul BOS'!A15="","",SYNTHESE!B74)</f>
        <v/>
      </c>
      <c r="C15" s="71" t="str">
        <f>IF(B15="","",IF(AND(SYNTHESE!C74&gt;=100,SYNTHESE!C74&lt;=5000),SYNTHESE!C74,"erreur"))</f>
        <v/>
      </c>
      <c r="D15" s="73" t="str">
        <f>IF(B15="","",IF((SYNTHESE!D74+SYNTHESE!E74)&lt;0.5,"ErreurVL+MFR","oui"))</f>
        <v/>
      </c>
      <c r="E15" s="72" t="str">
        <f>IF(B15="","",SYNTHESE!D74*20)</f>
        <v/>
      </c>
      <c r="F15" s="72" t="str">
        <f>IF(C15="","",SYNTHESE!E74*20)</f>
        <v/>
      </c>
      <c r="G15" s="72" t="str">
        <f t="shared" si="0"/>
        <v/>
      </c>
      <c r="H15" s="71" t="str">
        <f>IF(B15="","","oui")</f>
        <v/>
      </c>
      <c r="I15" s="71" t="str">
        <f>IF(B15="","","oui")</f>
        <v/>
      </c>
      <c r="J15" s="71" t="str">
        <f>IF(B15="","","oui")</f>
        <v/>
      </c>
    </row>
    <row r="16" spans="1:13" x14ac:dyDescent="0.25">
      <c r="A16" s="71" t="str">
        <f>IF(SYNTHESE!A75="","",SYNTHESE!A75)</f>
        <v/>
      </c>
      <c r="B16" s="71" t="str">
        <f>IF('calcul BOS'!A16="","",SYNTHESE!B75)</f>
        <v/>
      </c>
      <c r="C16" s="71" t="str">
        <f>IF(B16="","",IF(AND(SYNTHESE!C75&gt;=100,SYNTHESE!C75&lt;=5000),SYNTHESE!C75,"erreur"))</f>
        <v/>
      </c>
      <c r="D16" s="73" t="str">
        <f>IF(B16="","",IF((SYNTHESE!D75+SYNTHESE!E75)&lt;0.5,"ErreurVL+MFR","oui"))</f>
        <v/>
      </c>
      <c r="E16" s="72" t="str">
        <f>IF(B16="","",SYNTHESE!D75*20)</f>
        <v/>
      </c>
      <c r="F16" s="72" t="str">
        <f>IF(C16="","",SYNTHESE!E75*20)</f>
        <v/>
      </c>
      <c r="G16" s="72" t="str">
        <f t="shared" si="0"/>
        <v/>
      </c>
      <c r="H16" s="71" t="str">
        <f>IF(B16="","","oui")</f>
        <v/>
      </c>
      <c r="I16" s="71" t="str">
        <f>IF(B16="","","oui")</f>
        <v/>
      </c>
      <c r="J16" s="71" t="str">
        <f>IF(B16="","","oui")</f>
        <v/>
      </c>
    </row>
    <row r="17" spans="1:14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x14ac:dyDescent="0.25">
      <c r="A18" s="74" t="s">
        <v>282</v>
      </c>
      <c r="B18" s="70"/>
      <c r="C18" s="278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26.45" customHeight="1" x14ac:dyDescent="0.25">
      <c r="A20" s="464" t="s">
        <v>30</v>
      </c>
      <c r="B20" s="464"/>
      <c r="C20" s="455" t="s">
        <v>112</v>
      </c>
      <c r="D20" s="466" t="s">
        <v>0</v>
      </c>
      <c r="E20" s="467"/>
      <c r="F20" s="467"/>
      <c r="G20" s="468"/>
      <c r="H20" s="455" t="s">
        <v>61</v>
      </c>
      <c r="I20" s="455" t="s">
        <v>93</v>
      </c>
      <c r="J20" s="455" t="s">
        <v>94</v>
      </c>
      <c r="K20" s="461" t="s">
        <v>281</v>
      </c>
      <c r="L20" s="278"/>
      <c r="M20" s="70"/>
      <c r="N20" s="70"/>
    </row>
    <row r="21" spans="1:14" ht="30" x14ac:dyDescent="0.25">
      <c r="A21" s="69" t="s">
        <v>52</v>
      </c>
      <c r="B21" s="69" t="s">
        <v>53</v>
      </c>
      <c r="C21" s="456"/>
      <c r="D21" s="69" t="s">
        <v>66</v>
      </c>
      <c r="E21" s="69" t="s">
        <v>67</v>
      </c>
      <c r="F21" s="69" t="s">
        <v>68</v>
      </c>
      <c r="G21" s="69" t="s">
        <v>69</v>
      </c>
      <c r="H21" s="456"/>
      <c r="I21" s="456"/>
      <c r="J21" s="456"/>
      <c r="K21" s="461"/>
      <c r="M21" s="70"/>
      <c r="N21" s="70"/>
    </row>
    <row r="22" spans="1:14" x14ac:dyDescent="0.25">
      <c r="A22" s="71" t="str">
        <f>IF(A12="","",A12)</f>
        <v/>
      </c>
      <c r="B22" s="71" t="str">
        <f>IF(B12="","",B12)</f>
        <v/>
      </c>
      <c r="C22" s="75" t="str">
        <f>IF(B22="","",(Barèmes!$E$52/100)*C12)</f>
        <v/>
      </c>
      <c r="D22" s="75" t="str">
        <f>IF(B22="","",IF(D12="oui",(E22+F22+G22),"erreur"))</f>
        <v/>
      </c>
      <c r="E22" s="75" t="str">
        <f>IF(B22="","",(Barèmes!$E$54*SYNTHESE!D71)*('calcul BOS'!C12/100))</f>
        <v/>
      </c>
      <c r="F22" s="75" t="str">
        <f>IF(C22="","",(Barèmes!$E$55*SYNTHESE!E71)*(C12/100))</f>
        <v/>
      </c>
      <c r="G22" s="75" t="str">
        <f>IF(B22=""," ",(1-SYNTHESE!D71-SYNTHESE!E71)*Barèmes!$E$53*('calcul BOS'!C12/100))</f>
        <v xml:space="preserve"> </v>
      </c>
      <c r="H22" s="75" t="str">
        <f>IF(B22="","",(Barèmes!$E$56/100)*'calcul BOS'!C12)</f>
        <v/>
      </c>
      <c r="I22" s="71" t="str">
        <f>IF(B22="","",(Barèmes!$E$57/100)*C12)</f>
        <v/>
      </c>
      <c r="J22" s="71" t="str">
        <f>IF(B22="","",(Barèmes!$E$58/100)*'calcul BOS'!C12)</f>
        <v/>
      </c>
      <c r="K22" s="76" t="str">
        <f>IF(D22="","",J22+I22+H22+D22+C22)</f>
        <v/>
      </c>
      <c r="M22" s="70"/>
      <c r="N22" s="70"/>
    </row>
    <row r="23" spans="1:14" x14ac:dyDescent="0.25">
      <c r="A23" s="71" t="str">
        <f t="shared" ref="A23:B26" si="1">IF(A13="","",A13)</f>
        <v/>
      </c>
      <c r="B23" s="71" t="str">
        <f t="shared" si="1"/>
        <v/>
      </c>
      <c r="C23" s="75" t="str">
        <f>IF(B23="","",(Barèmes!$E$52/100)*C13)</f>
        <v/>
      </c>
      <c r="D23" s="75" t="str">
        <f>IF(B23="","",IF(D13="oui",(E23+F23+G23),"erreur"))</f>
        <v/>
      </c>
      <c r="E23" s="75" t="str">
        <f>IF(B23="","",(Barèmes!$E$54*SYNTHESE!D72)*('calcul BOS'!C13/100))</f>
        <v/>
      </c>
      <c r="F23" s="75" t="str">
        <f>IF(C23="","",(Barèmes!$E$55*SYNTHESE!E72)*(C13/100))</f>
        <v/>
      </c>
      <c r="G23" s="75" t="str">
        <f>IF(B23=""," ",(1-SYNTHESE!D72-SYNTHESE!E72)*Barèmes!$E$53*('calcul BOS'!C13/100))</f>
        <v xml:space="preserve"> </v>
      </c>
      <c r="H23" s="75" t="str">
        <f>IF(B23="","",(Barèmes!$E$56/100)*'calcul BOS'!C13)</f>
        <v/>
      </c>
      <c r="I23" s="71" t="str">
        <f>IF(B23="","",(Barèmes!$E$57/100)*C13)</f>
        <v/>
      </c>
      <c r="J23" s="71" t="str">
        <f>IF(B23="","",(Barèmes!$E$58/100)*'calcul BOS'!C13)</f>
        <v/>
      </c>
      <c r="K23" s="76" t="str">
        <f t="shared" ref="K23:K26" si="2">IF(D23="","",J23+I23+H23+D23+C23)</f>
        <v/>
      </c>
      <c r="M23" s="70"/>
      <c r="N23" s="70"/>
    </row>
    <row r="24" spans="1:14" x14ac:dyDescent="0.25">
      <c r="A24" s="71" t="str">
        <f t="shared" si="1"/>
        <v/>
      </c>
      <c r="B24" s="71" t="str">
        <f t="shared" si="1"/>
        <v/>
      </c>
      <c r="C24" s="75" t="str">
        <f>IF(B24="","",(Barèmes!$E$52/100)*C14)</f>
        <v/>
      </c>
      <c r="D24" s="75" t="str">
        <f>IF(B24="","",IF(D14="oui",(E24+F24+G24),"erreur"))</f>
        <v/>
      </c>
      <c r="E24" s="75" t="str">
        <f>IF(B24="","",(Barèmes!$E$54*SYNTHESE!D73)*('calcul BOS'!C14/100))</f>
        <v/>
      </c>
      <c r="F24" s="75" t="str">
        <f>IF(C24="","",(Barèmes!$E$55*SYNTHESE!E73)*(C14/100))</f>
        <v/>
      </c>
      <c r="G24" s="75" t="str">
        <f>IF(B24=""," ",(1-SYNTHESE!D73-SYNTHESE!E73)*Barèmes!$E$53*('calcul BOS'!C14/100))</f>
        <v xml:space="preserve"> </v>
      </c>
      <c r="H24" s="75" t="str">
        <f>IF(B24="","",(Barèmes!$E$56/100)*'calcul BOS'!C14)</f>
        <v/>
      </c>
      <c r="I24" s="71" t="str">
        <f>IF(B24="","",(Barèmes!$E$57/100)*C14)</f>
        <v/>
      </c>
      <c r="J24" s="71" t="str">
        <f>IF(B24="","",(Barèmes!$E$58/100)*'calcul BOS'!C14)</f>
        <v/>
      </c>
      <c r="K24" s="76" t="str">
        <f t="shared" si="2"/>
        <v/>
      </c>
      <c r="M24" s="70"/>
      <c r="N24" s="70"/>
    </row>
    <row r="25" spans="1:14" x14ac:dyDescent="0.25">
      <c r="A25" s="71" t="str">
        <f t="shared" si="1"/>
        <v/>
      </c>
      <c r="B25" s="71" t="str">
        <f t="shared" si="1"/>
        <v/>
      </c>
      <c r="C25" s="75" t="str">
        <f>IF(B25="","",(Barèmes!$E$52/100)*C15)</f>
        <v/>
      </c>
      <c r="D25" s="75" t="str">
        <f>IF(B25="","",IF(D15="oui",(E25+F25+G25),"erreur"))</f>
        <v/>
      </c>
      <c r="E25" s="75" t="str">
        <f>IF(B25="","",(Barèmes!$E$54*SYNTHESE!D74)*('calcul BOS'!C15/100))</f>
        <v/>
      </c>
      <c r="F25" s="75" t="str">
        <f>IF(C25="","",(Barèmes!$E$55*SYNTHESE!E74)*(C15/100))</f>
        <v/>
      </c>
      <c r="G25" s="75" t="str">
        <f>IF(B25=""," ",(1-SYNTHESE!D74-SYNTHESE!E74)*Barèmes!$E$53*('calcul BOS'!C15/100))</f>
        <v xml:space="preserve"> </v>
      </c>
      <c r="H25" s="75" t="str">
        <f>IF(B25="","",(Barèmes!$E$56/100)*'calcul BOS'!C15)</f>
        <v/>
      </c>
      <c r="I25" s="71" t="str">
        <f>IF(B25="","",(Barèmes!$E$57/100)*C15)</f>
        <v/>
      </c>
      <c r="J25" s="71" t="str">
        <f>IF(B25="","",(Barèmes!$E$58/100)*'calcul BOS'!C15)</f>
        <v/>
      </c>
      <c r="K25" s="76" t="str">
        <f t="shared" si="2"/>
        <v/>
      </c>
      <c r="M25" s="70"/>
      <c r="N25" s="70"/>
    </row>
    <row r="26" spans="1:14" x14ac:dyDescent="0.25">
      <c r="A26" s="71" t="str">
        <f t="shared" si="1"/>
        <v/>
      </c>
      <c r="B26" s="71" t="str">
        <f t="shared" si="1"/>
        <v/>
      </c>
      <c r="C26" s="75" t="str">
        <f>IF(B26="","",(Barèmes!$E$52/100)*C16)</f>
        <v/>
      </c>
      <c r="D26" s="75" t="str">
        <f>IF(B26="","",IF(D16="oui",(E26+F26+G26),"erreur"))</f>
        <v/>
      </c>
      <c r="E26" s="75" t="str">
        <f>IF(B26="","",(Barèmes!$E$54*SYNTHESE!D75)*('calcul BOS'!C16/100))</f>
        <v/>
      </c>
      <c r="F26" s="75" t="str">
        <f>IF(C26="","",(Barèmes!$E$55*SYNTHESE!E75)*(C16/100))</f>
        <v/>
      </c>
      <c r="G26" s="75" t="str">
        <f>IF(B26=""," ",(1-SYNTHESE!D75-SYNTHESE!E75)*Barèmes!$E$53*('calcul BOS'!C16/100))</f>
        <v xml:space="preserve"> </v>
      </c>
      <c r="H26" s="75" t="str">
        <f>IF(B26="","",(Barèmes!$E$56/100)*'calcul BOS'!C16)</f>
        <v/>
      </c>
      <c r="I26" s="71" t="str">
        <f>IF(B26="","",(Barèmes!$E$57/100)*C16)</f>
        <v/>
      </c>
      <c r="J26" s="71" t="str">
        <f>IF(B26="","",(Barèmes!$E$58/100)*'calcul BOS'!C16)</f>
        <v/>
      </c>
      <c r="K26" s="76" t="str">
        <f t="shared" si="2"/>
        <v/>
      </c>
      <c r="M26" s="70"/>
      <c r="N26" s="70"/>
    </row>
    <row r="27" spans="1:14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7" t="str">
        <f>IF(B22="","",SUM(K22:K26))</f>
        <v/>
      </c>
      <c r="M27" s="70"/>
      <c r="N27" s="70"/>
    </row>
    <row r="28" spans="1:14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M28" s="70"/>
      <c r="N28" s="70"/>
    </row>
    <row r="29" spans="1:14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x14ac:dyDescent="0.25">
      <c r="L30" s="70"/>
      <c r="M30" s="70"/>
      <c r="N30" s="70"/>
    </row>
  </sheetData>
  <sheetProtection algorithmName="SHA-512" hashValue="WC9cg7Vg7cOEo2bCR2z7GPcZB1tzMYpDgPMZ+TSudMR7BVPya7XuW6CfC/uxIsGUzv1W7zQ7prnOgYAzCWY0rg==" saltValue="B6RPO5osmVrNYc33XcVXsg==" spinCount="100000" sheet="1" objects="1" scenarios="1" selectLockedCells="1" selectUnlockedCells="1"/>
  <mergeCells count="12">
    <mergeCell ref="K20:K21"/>
    <mergeCell ref="D10:G10"/>
    <mergeCell ref="I10:I11"/>
    <mergeCell ref="J10:J11"/>
    <mergeCell ref="D20:G20"/>
    <mergeCell ref="H20:H21"/>
    <mergeCell ref="H10:H11"/>
    <mergeCell ref="A10:B10"/>
    <mergeCell ref="A20:B20"/>
    <mergeCell ref="C20:C21"/>
    <mergeCell ref="I20:I21"/>
    <mergeCell ref="J20:J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43"/>
  <sheetViews>
    <sheetView showGridLines="0" zoomScale="55" zoomScaleNormal="55" workbookViewId="0">
      <selection activeCell="B10" sqref="B10"/>
    </sheetView>
  </sheetViews>
  <sheetFormatPr baseColWidth="10" defaultRowHeight="15" x14ac:dyDescent="0.25"/>
  <cols>
    <col min="1" max="1" width="16.42578125" customWidth="1"/>
    <col min="2" max="2" width="16.7109375" customWidth="1"/>
    <col min="3" max="4" width="14.85546875" customWidth="1"/>
    <col min="5" max="11" width="13.42578125" customWidth="1"/>
    <col min="12" max="12" width="32" customWidth="1"/>
    <col min="13" max="14" width="13.42578125" customWidth="1"/>
    <col min="15" max="15" width="15.140625" customWidth="1"/>
    <col min="16" max="16" width="20.85546875" customWidth="1"/>
    <col min="17" max="17" width="13.42578125" customWidth="1"/>
  </cols>
  <sheetData>
    <row r="2" spans="1:13" ht="26.25" x14ac:dyDescent="0.25">
      <c r="A2" s="7" t="s">
        <v>204</v>
      </c>
    </row>
    <row r="3" spans="1:13" ht="18.75" x14ac:dyDescent="0.25">
      <c r="A3" s="8" t="s">
        <v>15</v>
      </c>
    </row>
    <row r="4" spans="1:13" ht="18.75" x14ac:dyDescent="0.25">
      <c r="A4" s="8" t="s">
        <v>98</v>
      </c>
    </row>
    <row r="6" spans="1:13" x14ac:dyDescent="0.25">
      <c r="A6" s="14"/>
    </row>
    <row r="7" spans="1:13" x14ac:dyDescent="0.25">
      <c r="A7" s="14"/>
      <c r="H7" s="260"/>
    </row>
    <row r="8" spans="1:13" x14ac:dyDescent="0.25"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10" spans="1:13" ht="43.5" customHeight="1" x14ac:dyDescent="0.25">
      <c r="A10" s="464" t="s">
        <v>30</v>
      </c>
      <c r="B10" s="464"/>
      <c r="C10" s="466" t="s">
        <v>90</v>
      </c>
      <c r="D10" s="467"/>
      <c r="E10" s="467"/>
      <c r="F10" s="468"/>
      <c r="G10" s="466" t="s">
        <v>0</v>
      </c>
      <c r="H10" s="467"/>
      <c r="I10" s="467"/>
      <c r="J10" s="467"/>
      <c r="K10" s="468"/>
    </row>
    <row r="11" spans="1:13" ht="45" x14ac:dyDescent="0.25">
      <c r="A11" s="69" t="s">
        <v>52</v>
      </c>
      <c r="B11" s="69" t="s">
        <v>111</v>
      </c>
      <c r="C11" s="69" t="s">
        <v>264</v>
      </c>
      <c r="D11" s="69" t="s">
        <v>74</v>
      </c>
      <c r="E11" s="69" t="s">
        <v>63</v>
      </c>
      <c r="F11" s="149" t="s">
        <v>126</v>
      </c>
      <c r="G11" s="152" t="s">
        <v>92</v>
      </c>
      <c r="H11" s="152" t="s">
        <v>58</v>
      </c>
      <c r="I11" s="152" t="s">
        <v>60</v>
      </c>
      <c r="J11" s="152" t="s">
        <v>59</v>
      </c>
      <c r="K11" s="152" t="s">
        <v>116</v>
      </c>
      <c r="L11" s="270"/>
    </row>
    <row r="12" spans="1:13" x14ac:dyDescent="0.25">
      <c r="A12" s="71" t="str">
        <f>IF(SYNTHESE!A86="","",SYNTHESE!A86)</f>
        <v/>
      </c>
      <c r="B12" s="71" t="str">
        <f>IF(A12="","",SYNTHESE!B86)</f>
        <v/>
      </c>
      <c r="C12" s="71" t="str">
        <f>IF(A12="","",SYNTHESE!C86)</f>
        <v/>
      </c>
      <c r="D12" s="71" t="str">
        <f>IF(B12="","",SYNTHESE!D86)</f>
        <v/>
      </c>
      <c r="E12" s="72" t="str">
        <f>IF(B12="","",D12/3)</f>
        <v/>
      </c>
      <c r="F12" s="72" t="str">
        <f>IF(C12="","",IF(SYNTHESE!E86="oui","non","oui"))</f>
        <v/>
      </c>
      <c r="G12" s="250" t="str">
        <f>IF(A12="","",IF(AND(C12="RNAE",(SYNTHESE!G86+SYNTHESE!H86)&lt;0.5),"erreur",IF(AND(C12="RNAE",(SYNTHESE!G86+SYNTHESE!H86)&gt;0.5),"oui",IF(C12="RNAS","non concerné","oui"))))</f>
        <v/>
      </c>
      <c r="H12" s="72" t="str">
        <f>IF(B12="","",IF(C12="RNAE",(D12*SYNTHESE!G86)/3,IF(C12="RNAS",0,0)))</f>
        <v/>
      </c>
      <c r="I12" s="72" t="str">
        <f>IF(B12="","",IF(C12="RNAE",(D12*SYNTHESE!H86)/3,IF(C12="RNAS",0,0)))</f>
        <v/>
      </c>
      <c r="J12" s="72" t="str">
        <f>IF(B12="","",IF(C12="RNAE",E12-H12-I12,IF(C12="RNAS",0,0)))</f>
        <v/>
      </c>
      <c r="K12" s="72" t="str">
        <f>IF(B12="","",IF(C12="RNAS",'calcul RNA'!D12,"0"))</f>
        <v/>
      </c>
      <c r="L12" s="273"/>
    </row>
    <row r="13" spans="1:13" x14ac:dyDescent="0.25">
      <c r="A13" s="71" t="str">
        <f>IF(SYNTHESE!A87="","",SYNTHESE!A87)</f>
        <v/>
      </c>
      <c r="B13" s="71" t="str">
        <f>IF(A13="","",SYNTHESE!B87)</f>
        <v/>
      </c>
      <c r="C13" s="71" t="str">
        <f>IF(A13="","",SYNTHESE!C87)</f>
        <v/>
      </c>
      <c r="D13" s="71" t="str">
        <f>IF(B13="","",SYNTHESE!D87)</f>
        <v/>
      </c>
      <c r="E13" s="72" t="str">
        <f t="shared" ref="E13:E17" si="0">IF(B13="","",D13/3)</f>
        <v/>
      </c>
      <c r="F13" s="72" t="str">
        <f>IF(C13="","",IF(SYNTHESE!E87="oui","non","oui"))</f>
        <v/>
      </c>
      <c r="G13" s="250" t="str">
        <f>IF(A13="","",IF(AND(C13="RNAE",(SYNTHESE!G87+SYNTHESE!H87)&lt;0.5),"erreur",IF(AND(C13="RNAE",(SYNTHESE!G87+SYNTHESE!H87)&gt;0.5),"oui",IF(C13="RNAS","non concerné","oui"))))</f>
        <v/>
      </c>
      <c r="H13" s="72" t="str">
        <f>IF(B13="","",IF(C13="RNAE",(D13*SYNTHESE!G87)/3,IF(C13="RNAS",0,0)))</f>
        <v/>
      </c>
      <c r="I13" s="72" t="str">
        <f>IF(B13="","",IF(C13="RNAE",(D13*SYNTHESE!H87)/3,IF(C13="RNAS",0,0)))</f>
        <v/>
      </c>
      <c r="J13" s="72" t="str">
        <f t="shared" ref="J13:J17" si="1">IF(B13="","",IF(C13="RNAE",E13-H13-I13,IF(C13="RNAS",0,0)))</f>
        <v/>
      </c>
      <c r="K13" s="72" t="str">
        <f>IF(B13="","",IF(C13="RNAS",'calcul RNA'!D13,"0"))</f>
        <v/>
      </c>
    </row>
    <row r="14" spans="1:13" ht="15" customHeight="1" x14ac:dyDescent="0.25">
      <c r="A14" s="71" t="str">
        <f>IF(SYNTHESE!A88="","",SYNTHESE!A88)</f>
        <v/>
      </c>
      <c r="B14" s="71" t="str">
        <f>IF(A14="","",SYNTHESE!B88)</f>
        <v/>
      </c>
      <c r="C14" s="71" t="str">
        <f>IF(A14="","",SYNTHESE!C88)</f>
        <v/>
      </c>
      <c r="D14" s="71" t="str">
        <f>IF(B14="","",SYNTHESE!D88)</f>
        <v/>
      </c>
      <c r="E14" s="72" t="str">
        <f t="shared" si="0"/>
        <v/>
      </c>
      <c r="F14" s="72" t="str">
        <f>IF(C14="","",IF(SYNTHESE!E88="oui","non","oui"))</f>
        <v/>
      </c>
      <c r="G14" s="250" t="str">
        <f>IF(A14="","",IF(AND(C14="RNAE",(SYNTHESE!G88+SYNTHESE!H88)&lt;0.5),"erreur",IF(AND(C14="RNAE",(SYNTHESE!G88+SYNTHESE!H88)&gt;0.5),"oui",IF(C14="RNAS","non concerné","oui"))))</f>
        <v/>
      </c>
      <c r="H14" s="72" t="str">
        <f>IF(B14="","",IF(C14="RNAE",(D14*SYNTHESE!G88)/3,IF(C14="RNAS",0,0)))</f>
        <v/>
      </c>
      <c r="I14" s="72" t="str">
        <f>IF(B14="","",IF(C14="RNAE",(D14*SYNTHESE!H88)/3,IF(C14="RNAS",0,0)))</f>
        <v/>
      </c>
      <c r="J14" s="72" t="str">
        <f t="shared" si="1"/>
        <v/>
      </c>
      <c r="K14" s="72" t="str">
        <f>IF(B14="","",IF(C14="RNAS",'calcul RNA'!D14,"0"))</f>
        <v/>
      </c>
      <c r="L14" s="261"/>
    </row>
    <row r="15" spans="1:13" x14ac:dyDescent="0.25">
      <c r="A15" s="71" t="str">
        <f>IF(SYNTHESE!A89="","",SYNTHESE!A89)</f>
        <v/>
      </c>
      <c r="B15" s="71" t="str">
        <f>IF(A15="","",SYNTHESE!B89)</f>
        <v/>
      </c>
      <c r="C15" s="71" t="str">
        <f>IF(A15="","",SYNTHESE!C89)</f>
        <v/>
      </c>
      <c r="D15" s="71" t="str">
        <f>IF(B15="","",SYNTHESE!D89)</f>
        <v/>
      </c>
      <c r="E15" s="72" t="str">
        <f t="shared" si="0"/>
        <v/>
      </c>
      <c r="F15" s="72" t="str">
        <f>IF(C15="","",IF(SYNTHESE!E89="oui","non","oui"))</f>
        <v/>
      </c>
      <c r="G15" s="250" t="str">
        <f>IF(A15="","",IF(AND(C15="RNAE",(SYNTHESE!G89+SYNTHESE!H89)&lt;0.5),"erreur",IF(AND(C15="RNAE",(SYNTHESE!G89+SYNTHESE!H89)&gt;0.5),"oui",IF(C15="RNAS","non concerné","oui"))))</f>
        <v/>
      </c>
      <c r="H15" s="72" t="str">
        <f>IF(B15="","",IF(C15="RNAE",(D15*SYNTHESE!G89)/3,IF(C15="RNAS",0,0)))</f>
        <v/>
      </c>
      <c r="I15" s="72" t="str">
        <f>IF(B15="","",IF(C15="RNAE",(D15*SYNTHESE!H89)/3,IF(C15="RNAS",0,0)))</f>
        <v/>
      </c>
      <c r="J15" s="72" t="str">
        <f t="shared" si="1"/>
        <v/>
      </c>
      <c r="K15" s="72" t="str">
        <f>IF(B15="","",IF(C15="RNAS",'calcul RNA'!D15,"0"))</f>
        <v/>
      </c>
      <c r="L15" s="292"/>
    </row>
    <row r="16" spans="1:13" x14ac:dyDescent="0.25">
      <c r="A16" s="71" t="str">
        <f>IF(SYNTHESE!A90="","",SYNTHESE!A90)</f>
        <v/>
      </c>
      <c r="B16" s="71" t="str">
        <f>IF(A16="","",SYNTHESE!B90)</f>
        <v/>
      </c>
      <c r="C16" s="71" t="str">
        <f>IF(A16="","",SYNTHESE!C90)</f>
        <v/>
      </c>
      <c r="D16" s="71" t="str">
        <f>IF(B16="","",SYNTHESE!D90)</f>
        <v/>
      </c>
      <c r="E16" s="72" t="str">
        <f t="shared" si="0"/>
        <v/>
      </c>
      <c r="F16" s="72" t="str">
        <f>IF(C16="","",IF(SYNTHESE!E90="oui","non","oui"))</f>
        <v/>
      </c>
      <c r="G16" s="250" t="str">
        <f>IF(A16="","",IF(AND(C16="RNAE",(SYNTHESE!G90+SYNTHESE!H90)&lt;0.5),"erreur",IF(AND(C16="RNAE",(SYNTHESE!G90+SYNTHESE!H90)&gt;0.5),"oui",IF(C16="RNAS","non concerné","oui"))))</f>
        <v/>
      </c>
      <c r="H16" s="72" t="str">
        <f>IF(B16="","",IF(C16="RNAE",(D16*SYNTHESE!G90)/3,IF(C16="RNAS",0,0)))</f>
        <v/>
      </c>
      <c r="I16" s="72" t="str">
        <f>IF(B16="","",IF(C16="RNAE",(D16*SYNTHESE!H90)/3,IF(C16="RNAS",0,0)))</f>
        <v/>
      </c>
      <c r="J16" s="72" t="str">
        <f t="shared" si="1"/>
        <v/>
      </c>
      <c r="K16" s="72" t="str">
        <f>IF(B16="","",IF(C16="RNAS",'calcul RNA'!D16,"0"))</f>
        <v/>
      </c>
      <c r="L16" s="296"/>
    </row>
    <row r="17" spans="1:16" x14ac:dyDescent="0.25">
      <c r="A17" s="71" t="str">
        <f>IF(SYNTHESE!A91="","",SYNTHESE!A91)</f>
        <v/>
      </c>
      <c r="B17" s="71" t="str">
        <f>IF(A17="","",SYNTHESE!B91)</f>
        <v/>
      </c>
      <c r="C17" s="71" t="str">
        <f>IF(A17="","",SYNTHESE!C91)</f>
        <v/>
      </c>
      <c r="D17" s="71" t="str">
        <f>IF(B17="","",SYNTHESE!D91)</f>
        <v/>
      </c>
      <c r="E17" s="72" t="str">
        <f t="shared" si="0"/>
        <v/>
      </c>
      <c r="F17" s="72" t="str">
        <f>IF(C17="","",IF(SYNTHESE!E91="oui","non","oui"))</f>
        <v/>
      </c>
      <c r="G17" s="250" t="str">
        <f>IF(A17="","",IF(AND(C17="RNAE",(SYNTHESE!G91+SYNTHESE!H91)&lt;0.5),"erreur",IF(AND(C17="RNAE",(SYNTHESE!G91+SYNTHESE!H91)&gt;0.5),"oui",IF(C17="RNAS","non concerné","oui"))))</f>
        <v/>
      </c>
      <c r="H17" s="72" t="str">
        <f>IF(B17="","",IF(C17="RNAE",(D17*SYNTHESE!G91)/3,IF(C17="RNAS",0,0)))</f>
        <v/>
      </c>
      <c r="I17" s="72" t="str">
        <f>IF(B17="","",IF(C17="RNAE",(D17*SYNTHESE!H91)/3,IF(C17="RNAS",0,0)))</f>
        <v/>
      </c>
      <c r="J17" s="72" t="str">
        <f t="shared" si="1"/>
        <v/>
      </c>
      <c r="K17" s="72" t="str">
        <f>IF(B17="","",IF(C17="RNAS",'calcul RNA'!D17,"0"))</f>
        <v/>
      </c>
      <c r="L17" s="150"/>
      <c r="M17" s="150" t="str">
        <f>IF(C17="","",IF(SYNTHESE!H81="oui",Barèmes!$E$75*'calcul RNA'!E7,0))</f>
        <v/>
      </c>
      <c r="N17" s="150" t="str">
        <f>IF(C17="","",IF(SYNTHESE!I81="oui",Barèmes!$E$76*'calcul RNA'!E7,0))</f>
        <v/>
      </c>
      <c r="O17" s="150" t="str">
        <f>IF(C17="","",IF(SYNTHESE!J81="oui",Barèmes!$E$77*'calcul RNA'!E7,0))</f>
        <v/>
      </c>
    </row>
    <row r="18" spans="1:16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150"/>
      <c r="M18" s="150"/>
      <c r="N18" s="150"/>
      <c r="O18" s="150"/>
    </row>
    <row r="19" spans="1:16" x14ac:dyDescent="0.25">
      <c r="A19" s="74" t="s">
        <v>282</v>
      </c>
      <c r="B19" s="70"/>
      <c r="C19" s="278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6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P20" s="278"/>
    </row>
    <row r="21" spans="1:16" ht="35.450000000000003" customHeight="1" x14ac:dyDescent="0.25">
      <c r="A21" s="464" t="s">
        <v>30</v>
      </c>
      <c r="B21" s="464"/>
      <c r="C21" s="455" t="s">
        <v>133</v>
      </c>
      <c r="D21" s="455" t="s">
        <v>118</v>
      </c>
      <c r="E21" s="466" t="s">
        <v>0</v>
      </c>
      <c r="F21" s="467"/>
      <c r="G21" s="467"/>
      <c r="H21" s="467"/>
      <c r="I21" s="468"/>
      <c r="J21" s="455" t="s">
        <v>61</v>
      </c>
      <c r="K21" s="460" t="s">
        <v>120</v>
      </c>
      <c r="L21" s="460"/>
      <c r="M21" s="460"/>
      <c r="N21" s="460"/>
      <c r="O21" s="460"/>
      <c r="P21" s="153" t="s">
        <v>281</v>
      </c>
    </row>
    <row r="22" spans="1:16" ht="30" x14ac:dyDescent="0.25">
      <c r="A22" s="69" t="s">
        <v>83</v>
      </c>
      <c r="B22" s="69" t="s">
        <v>53</v>
      </c>
      <c r="C22" s="456"/>
      <c r="D22" s="456"/>
      <c r="E22" s="69" t="s">
        <v>66</v>
      </c>
      <c r="F22" s="69" t="s">
        <v>67</v>
      </c>
      <c r="G22" s="69" t="s">
        <v>68</v>
      </c>
      <c r="H22" s="69" t="s">
        <v>69</v>
      </c>
      <c r="I22" s="69" t="s">
        <v>119</v>
      </c>
      <c r="J22" s="456"/>
      <c r="K22" s="248" t="s">
        <v>175</v>
      </c>
      <c r="L22" s="248" t="s">
        <v>173</v>
      </c>
      <c r="M22" s="249" t="s">
        <v>23</v>
      </c>
      <c r="N22" s="249" t="s">
        <v>25</v>
      </c>
      <c r="O22" s="251" t="s">
        <v>121</v>
      </c>
      <c r="P22" s="154"/>
    </row>
    <row r="23" spans="1:16" x14ac:dyDescent="0.25">
      <c r="A23" s="71" t="str">
        <f t="shared" ref="A23:B28" si="2">IF(A12="","",A12)</f>
        <v/>
      </c>
      <c r="B23" s="71" t="str">
        <f t="shared" si="2"/>
        <v/>
      </c>
      <c r="C23" s="75" t="str">
        <f>IF(B23="","",IF(F12="oui",IF(C12="RNAE",Barèmes!$E$67*'calcul RNA'!D12,IF('calcul RNA'!C12="RNAS",Barèmes!$F$67*'calcul RNA'!D12,0)),0))</f>
        <v/>
      </c>
      <c r="D23" s="75" t="str">
        <f>IF(B23="","",IF(C12="RNAS",Barèmes!$F$68*'calcul RNA'!D12,0))</f>
        <v/>
      </c>
      <c r="E23" s="75" t="str">
        <f>IF(B23="","",IF(G12="oui",F23+G23+H23+I23,IF(G12="erreur","erreur",)))</f>
        <v/>
      </c>
      <c r="F23" s="75" t="str">
        <f>IF(B23="","",Barèmes!$E$70*'calcul RNA'!H12)</f>
        <v/>
      </c>
      <c r="G23" s="75" t="str">
        <f>IF(B23="","",Barèmes!$E$71*'calcul RNA'!I12)</f>
        <v/>
      </c>
      <c r="H23" s="75" t="str">
        <f>IF(B23="","",Barèmes!$E$69*'calcul RNA'!J12)</f>
        <v/>
      </c>
      <c r="I23" s="75" t="str">
        <f>IF(B23="","",IF(C12="RNAS",Barèmes!$F$72*'calcul RNA'!D12,0))</f>
        <v/>
      </c>
      <c r="J23" s="75" t="str">
        <f>IF(B23="","",IF(C12="RNAE",(Barèmes!$E$73*'calcul RNA'!D12)/3,0))</f>
        <v/>
      </c>
      <c r="K23" s="75" t="str">
        <f>IF(B23="","",IF(SYNTHESE!F86="oui",('calcul RNA'!L23)+('calcul RNA'!M23*2)+('calcul RNA'!N23*2)+('calcul RNA'!O23*2),(L23+M23+N23+O23)))</f>
        <v/>
      </c>
      <c r="L23" s="75" t="str">
        <f>IF(B23="","", IF(SYNTHESE!I86="oui",Barèmes!$E$74*E12,0))</f>
        <v/>
      </c>
      <c r="M23" s="75" t="str">
        <f>IF(B23="","", IF(SYNTHESE!J86="oui",Barèmes!$E$75*D12,0))</f>
        <v/>
      </c>
      <c r="N23" s="75" t="str">
        <f>IF(B23="","", IF(SYNTHESE!K86="oui",Barèmes!$E$76*'calcul RNA'!D12,0))</f>
        <v/>
      </c>
      <c r="O23" s="75" t="str">
        <f>IF(B23="","", IF(SYNTHESE!L86="oui",Barèmes!$E$77*'calcul RNA'!D12,0))</f>
        <v/>
      </c>
      <c r="P23" s="76" t="str">
        <f>IF(B23="","",C23+D23+E23+J23+K23)</f>
        <v/>
      </c>
    </row>
    <row r="24" spans="1:16" x14ac:dyDescent="0.25">
      <c r="A24" s="71" t="str">
        <f t="shared" si="2"/>
        <v/>
      </c>
      <c r="B24" s="71" t="str">
        <f t="shared" si="2"/>
        <v/>
      </c>
      <c r="C24" s="75" t="str">
        <f>IF(B24="","",IF(F13="oui",IF(C13="RNAE",Barèmes!$E$67*'calcul RNA'!D13,IF('calcul RNA'!C13="RNAS",Barèmes!$F$67*'calcul RNA'!D13,0)),0))</f>
        <v/>
      </c>
      <c r="D24" s="75" t="str">
        <f>IF(B24="","",IF(C13="RNAS",Barèmes!$F$68*'calcul RNA'!D13,0))</f>
        <v/>
      </c>
      <c r="E24" s="75" t="str">
        <f t="shared" ref="E24:E28" si="3">IF(B24="","",IF(G13="oui",F24+G24+H24+I24,IF(G13="erreur","erreur",)))</f>
        <v/>
      </c>
      <c r="F24" s="75" t="str">
        <f>IF(B24="","",Barèmes!$E$70*'calcul RNA'!H13)</f>
        <v/>
      </c>
      <c r="G24" s="75" t="str">
        <f>IF(B24="","",Barèmes!$E$71*'calcul RNA'!I13)</f>
        <v/>
      </c>
      <c r="H24" s="75" t="str">
        <f>IF(B24="","",Barèmes!$E$69*'calcul RNA'!J13)</f>
        <v/>
      </c>
      <c r="I24" s="75" t="str">
        <f>IF(B24="","",IF(C13="RNAS",Barèmes!$F$72*'calcul RNA'!D13,0))</f>
        <v/>
      </c>
      <c r="J24" s="75" t="str">
        <f>IF(B24="","",IF(C13="RNAE",(Barèmes!$E$73*'calcul RNA'!D13)/3,0))</f>
        <v/>
      </c>
      <c r="K24" s="75" t="str">
        <f>IF(B24="","",IF(SYNTHESE!F87="oui",('calcul RNA'!L24)+('calcul RNA'!M24*2)+('calcul RNA'!N24*2)+('calcul RNA'!O24*2),(L24+M24+N24+O24)))</f>
        <v/>
      </c>
      <c r="L24" s="75" t="str">
        <f>IF(B24="","", IF(SYNTHESE!I87="oui",Barèmes!$E$74*E13,0))</f>
        <v/>
      </c>
      <c r="M24" s="75" t="str">
        <f>IF(B24="","", IF(SYNTHESE!J87="oui",Barèmes!$E$75*D13,0))</f>
        <v/>
      </c>
      <c r="N24" s="75" t="str">
        <f>IF(B24="","", IF(SYNTHESE!K87="oui",Barèmes!$E$76*'calcul RNA'!D13,0))</f>
        <v/>
      </c>
      <c r="O24" s="75" t="str">
        <f>IF(B24="","", IF(SYNTHESE!L87="oui",Barèmes!$E$77*'calcul RNA'!D13,0))</f>
        <v/>
      </c>
      <c r="P24" s="76" t="str">
        <f t="shared" ref="P24:P28" si="4">IF(B24="","",C24+D24+E24+J24+K24)</f>
        <v/>
      </c>
    </row>
    <row r="25" spans="1:16" x14ac:dyDescent="0.25">
      <c r="A25" s="71" t="str">
        <f t="shared" si="2"/>
        <v/>
      </c>
      <c r="B25" s="71" t="str">
        <f t="shared" si="2"/>
        <v/>
      </c>
      <c r="C25" s="75" t="str">
        <f>IF(B25="","",IF(F14="oui",IF(C14="RNAE",Barèmes!$E$67*'calcul RNA'!D14,IF('calcul RNA'!C14="RNAS",Barèmes!$F$67*'calcul RNA'!D14,0)),0))</f>
        <v/>
      </c>
      <c r="D25" s="75" t="str">
        <f>IF(B25="","",IF(C14="RNAS",Barèmes!$F$68*'calcul RNA'!D14,0))</f>
        <v/>
      </c>
      <c r="E25" s="75" t="str">
        <f t="shared" si="3"/>
        <v/>
      </c>
      <c r="F25" s="75" t="str">
        <f>IF(B25="","",Barèmes!$E$70*'calcul RNA'!H14)</f>
        <v/>
      </c>
      <c r="G25" s="75" t="str">
        <f>IF(B25="","",Barèmes!$E$71*'calcul RNA'!I14)</f>
        <v/>
      </c>
      <c r="H25" s="75" t="str">
        <f>IF(B25="","",Barèmes!$E$69*'calcul RNA'!J14)</f>
        <v/>
      </c>
      <c r="I25" s="75" t="str">
        <f>IF(B25="","",IF(C14="RNAS",Barèmes!$F$72*'calcul RNA'!D14,0))</f>
        <v/>
      </c>
      <c r="J25" s="75" t="str">
        <f>IF(B25="","",IF(C14="RNAE",(Barèmes!$E$73*'calcul RNA'!D14)/3,0))</f>
        <v/>
      </c>
      <c r="K25" s="75" t="str">
        <f>IF(B25="","",IF(SYNTHESE!F88="oui",('calcul RNA'!L25)+('calcul RNA'!M25*2)+('calcul RNA'!N25*2)+('calcul RNA'!O25*2),(L25+M25+N25+O25)))</f>
        <v/>
      </c>
      <c r="L25" s="75" t="str">
        <f>IF(B25="","", IF(SYNTHESE!I88="oui",Barèmes!$E$74*E14,0))</f>
        <v/>
      </c>
      <c r="M25" s="75" t="str">
        <f>IF(B25="","", IF(SYNTHESE!J88="oui",Barèmes!$E$75*D14,0))</f>
        <v/>
      </c>
      <c r="N25" s="75" t="str">
        <f>IF(B25="","", IF(SYNTHESE!K88="oui",Barèmes!$E$76*'calcul RNA'!D14,0))</f>
        <v/>
      </c>
      <c r="O25" s="75" t="str">
        <f>IF(B25="","", IF(SYNTHESE!L88="oui",Barèmes!$E$77*'calcul RNA'!D14,0))</f>
        <v/>
      </c>
      <c r="P25" s="76" t="str">
        <f t="shared" si="4"/>
        <v/>
      </c>
    </row>
    <row r="26" spans="1:16" x14ac:dyDescent="0.25">
      <c r="A26" s="71" t="str">
        <f t="shared" si="2"/>
        <v/>
      </c>
      <c r="B26" s="71" t="str">
        <f t="shared" si="2"/>
        <v/>
      </c>
      <c r="C26" s="75" t="str">
        <f>IF(B26="","",IF(F15="oui",IF(C15="RNAE",Barèmes!$E$67*'calcul RNA'!D15,IF('calcul RNA'!C15="RNAS",Barèmes!$F$67*'calcul RNA'!D15,0)),0))</f>
        <v/>
      </c>
      <c r="D26" s="75" t="str">
        <f>IF(B26="","",IF(C15="RNAS",Barèmes!$F$68*'calcul RNA'!D15,0))</f>
        <v/>
      </c>
      <c r="E26" s="75" t="str">
        <f t="shared" si="3"/>
        <v/>
      </c>
      <c r="F26" s="75" t="str">
        <f>IF(B26="","",Barèmes!$E$70*'calcul RNA'!H15)</f>
        <v/>
      </c>
      <c r="G26" s="75" t="str">
        <f>IF(B26="","",Barèmes!$E$71*'calcul RNA'!I15)</f>
        <v/>
      </c>
      <c r="H26" s="75" t="str">
        <f>IF(B26="","",Barèmes!$E$69*'calcul RNA'!J15)</f>
        <v/>
      </c>
      <c r="I26" s="75" t="str">
        <f>IF(B26="","",IF(C15="RNAS",Barèmes!$F$72*'calcul RNA'!D15,0))</f>
        <v/>
      </c>
      <c r="J26" s="75" t="str">
        <f>IF(B26="","",IF(C15="RNAE",(Barèmes!$E$73*'calcul RNA'!D15)/3,0))</f>
        <v/>
      </c>
      <c r="K26" s="75" t="str">
        <f>IF(B26="","",IF(SYNTHESE!F89="oui",('calcul RNA'!L26)+('calcul RNA'!M26*2)+('calcul RNA'!N26*2)+('calcul RNA'!O26*2),(L26+M26+N26+O26)))</f>
        <v/>
      </c>
      <c r="L26" s="75" t="str">
        <f>IF(B26="","", IF(SYNTHESE!I89="oui",Barèmes!$E$74*E15,0))</f>
        <v/>
      </c>
      <c r="M26" s="75" t="str">
        <f>IF(B26="","", IF(SYNTHESE!J89="oui",Barèmes!$E$75*D15,0))</f>
        <v/>
      </c>
      <c r="N26" s="75" t="str">
        <f>IF(B26="","", IF(SYNTHESE!K89="oui",Barèmes!$E$76*'calcul RNA'!D15,0))</f>
        <v/>
      </c>
      <c r="O26" s="75" t="str">
        <f>IF(B26="","", IF(SYNTHESE!L89="oui",Barèmes!$E$77*'calcul RNA'!D15,0))</f>
        <v/>
      </c>
      <c r="P26" s="76" t="str">
        <f t="shared" si="4"/>
        <v/>
      </c>
    </row>
    <row r="27" spans="1:16" x14ac:dyDescent="0.25">
      <c r="A27" s="71" t="str">
        <f t="shared" si="2"/>
        <v/>
      </c>
      <c r="B27" s="71" t="str">
        <f t="shared" si="2"/>
        <v/>
      </c>
      <c r="C27" s="75" t="str">
        <f>IF(B27="","",IF(F16="oui",IF(C16="RNAE",Barèmes!$E$67*'calcul RNA'!D16,IF('calcul RNA'!C16="RNAS",Barèmes!$F$67*'calcul RNA'!D16,0)),0))</f>
        <v/>
      </c>
      <c r="D27" s="75" t="str">
        <f>IF(B27="","",IF(C16="RNAS",Barèmes!$F$68*'calcul RNA'!D16,0))</f>
        <v/>
      </c>
      <c r="E27" s="75" t="str">
        <f t="shared" si="3"/>
        <v/>
      </c>
      <c r="F27" s="75" t="str">
        <f>IF(B27="","",Barèmes!$E$70*'calcul RNA'!H16)</f>
        <v/>
      </c>
      <c r="G27" s="75" t="str">
        <f>IF(B27="","",Barèmes!$E$71*'calcul RNA'!I16)</f>
        <v/>
      </c>
      <c r="H27" s="75" t="str">
        <f>IF(B27="","",Barèmes!$E$69*'calcul RNA'!J16)</f>
        <v/>
      </c>
      <c r="I27" s="75" t="str">
        <f>IF(B27="","",IF(C16="RNAS",Barèmes!$F$72*'calcul RNA'!D16,0))</f>
        <v/>
      </c>
      <c r="J27" s="75" t="str">
        <f>IF(B27="","",IF(C16="RNAE",(Barèmes!$E$73*'calcul RNA'!D16)/3,0))</f>
        <v/>
      </c>
      <c r="K27" s="75" t="str">
        <f>IF(B27="","",IF(SYNTHESE!F90="oui",('calcul RNA'!L27)+('calcul RNA'!M27*2)+('calcul RNA'!N27*2)+('calcul RNA'!O27*2),(L27+M27+N27+O27)))</f>
        <v/>
      </c>
      <c r="L27" s="75" t="str">
        <f>IF(B27="","", IF(SYNTHESE!I90="oui",Barèmes!$E$74*E16,0))</f>
        <v/>
      </c>
      <c r="M27" s="75" t="str">
        <f>IF(B27="","", IF(SYNTHESE!J90="oui",Barèmes!$E$75*D16,0))</f>
        <v/>
      </c>
      <c r="N27" s="75" t="str">
        <f>IF(B27="","", IF(SYNTHESE!K90="oui",Barèmes!$E$76*'calcul RNA'!D16,0))</f>
        <v/>
      </c>
      <c r="O27" s="75" t="str">
        <f>IF(B27="","", IF(SYNTHESE!L90="oui",Barèmes!$E$77*'calcul RNA'!D16,0))</f>
        <v/>
      </c>
      <c r="P27" s="76" t="str">
        <f t="shared" si="4"/>
        <v/>
      </c>
    </row>
    <row r="28" spans="1:16" x14ac:dyDescent="0.25">
      <c r="A28" s="71" t="str">
        <f t="shared" si="2"/>
        <v/>
      </c>
      <c r="B28" s="71" t="str">
        <f t="shared" si="2"/>
        <v/>
      </c>
      <c r="C28" s="75" t="str">
        <f>IF(B28="","",IF(F17="oui",IF(C17="RNAE",Barèmes!$E$67*'calcul RNA'!D17,IF('calcul RNA'!C17="RNAS",Barèmes!$F$67*'calcul RNA'!D17,0)),0))</f>
        <v/>
      </c>
      <c r="D28" s="75" t="str">
        <f>IF(B28="","",IF(C17="RNAS",Barèmes!$F$68*'calcul RNA'!D17,0))</f>
        <v/>
      </c>
      <c r="E28" s="75" t="str">
        <f t="shared" si="3"/>
        <v/>
      </c>
      <c r="F28" s="75" t="str">
        <f>IF(B28="","",Barèmes!$E$70*'calcul RNA'!H17)</f>
        <v/>
      </c>
      <c r="G28" s="75" t="str">
        <f>IF(B28="","",Barèmes!$E$71*'calcul RNA'!I17)</f>
        <v/>
      </c>
      <c r="H28" s="75" t="str">
        <f>IF(B28="","",Barèmes!$E$69*'calcul RNA'!J17)</f>
        <v/>
      </c>
      <c r="I28" s="75" t="str">
        <f>IF(B28="","",IF(C17="RNAS",Barèmes!$F$72*'calcul RNA'!D17,0))</f>
        <v/>
      </c>
      <c r="J28" s="75" t="str">
        <f>IF(B28="","",IF(C17="RNAE",(Barèmes!$E$73*'calcul RNA'!D17)/3,0))</f>
        <v/>
      </c>
      <c r="K28" s="75" t="str">
        <f>IF(B28="","",IF(SYNTHESE!F91="oui",('calcul RNA'!L28)+('calcul RNA'!M28*2)+('calcul RNA'!N28*2)+('calcul RNA'!O28*2),(L28+M28+N28+O28)))</f>
        <v/>
      </c>
      <c r="L28" s="75" t="str">
        <f>IF(B28="","", IF(SYNTHESE!I91="oui",Barèmes!$E$74*E17,0))</f>
        <v/>
      </c>
      <c r="M28" s="75" t="str">
        <f>IF(B28="","", IF(SYNTHESE!J91="oui",Barèmes!$E$75*D17,0))</f>
        <v/>
      </c>
      <c r="N28" s="75" t="str">
        <f>IF(B28="","", IF(SYNTHESE!K91="oui",Barèmes!$E$76*'calcul RNA'!D17,0))</f>
        <v/>
      </c>
      <c r="O28" s="75" t="str">
        <f>IF(B28="","", IF(SYNTHESE!L91="oui",Barèmes!$E$77*'calcul RNA'!D17,0))</f>
        <v/>
      </c>
      <c r="P28" s="76" t="str">
        <f t="shared" si="4"/>
        <v/>
      </c>
    </row>
    <row r="29" spans="1:16" x14ac:dyDescent="0.25">
      <c r="A29" s="70"/>
      <c r="B29" s="70"/>
      <c r="C29" s="70"/>
      <c r="G29" s="70"/>
      <c r="H29" s="70"/>
      <c r="I29" s="70"/>
      <c r="J29" s="70"/>
      <c r="L29" s="70"/>
      <c r="M29" s="70"/>
      <c r="P29" s="77" t="str">
        <f>IF(B23="","",SUM(P23:P28))</f>
        <v/>
      </c>
    </row>
    <row r="30" spans="1:16" x14ac:dyDescent="0.25">
      <c r="A30" s="70"/>
      <c r="B30" s="70"/>
      <c r="C30" s="70"/>
      <c r="D30" s="70"/>
      <c r="E30" s="271"/>
      <c r="F30" s="271"/>
      <c r="G30" s="271"/>
      <c r="H30" s="271"/>
      <c r="I30" s="271"/>
      <c r="J30" s="271"/>
      <c r="K30" s="271"/>
      <c r="L30" s="271"/>
      <c r="M30" s="70"/>
      <c r="N30" s="70"/>
    </row>
    <row r="31" spans="1:16" x14ac:dyDescent="0.25">
      <c r="A31" s="70"/>
      <c r="B31" s="70"/>
      <c r="C31" s="70"/>
      <c r="D31" s="70"/>
      <c r="E31" s="274"/>
      <c r="F31" s="70"/>
      <c r="G31" s="70"/>
      <c r="H31" s="70"/>
      <c r="I31" s="70"/>
      <c r="J31" s="70"/>
      <c r="K31" s="70"/>
      <c r="L31" s="70"/>
      <c r="M31" s="70"/>
      <c r="N31" s="70"/>
    </row>
    <row r="32" spans="1:16" x14ac:dyDescent="0.25">
      <c r="E32" s="296"/>
    </row>
    <row r="33" spans="1:7" x14ac:dyDescent="0.25">
      <c r="A33" t="s">
        <v>49</v>
      </c>
      <c r="E33" s="294"/>
    </row>
    <row r="34" spans="1:7" x14ac:dyDescent="0.25">
      <c r="A34" t="s">
        <v>114</v>
      </c>
      <c r="B34" t="s">
        <v>50</v>
      </c>
      <c r="E34" s="296"/>
    </row>
    <row r="35" spans="1:7" x14ac:dyDescent="0.25">
      <c r="A35" t="s">
        <v>115</v>
      </c>
      <c r="B35" t="s">
        <v>51</v>
      </c>
    </row>
    <row r="36" spans="1:7" x14ac:dyDescent="0.25">
      <c r="E36" s="290"/>
    </row>
    <row r="37" spans="1:7" x14ac:dyDescent="0.25">
      <c r="E37" s="296"/>
    </row>
    <row r="39" spans="1:7" x14ac:dyDescent="0.25">
      <c r="E39" s="290"/>
    </row>
    <row r="40" spans="1:7" x14ac:dyDescent="0.25">
      <c r="E40" s="296"/>
    </row>
    <row r="41" spans="1:7" x14ac:dyDescent="0.25">
      <c r="F41" s="70"/>
      <c r="G41" s="70"/>
    </row>
    <row r="42" spans="1:7" x14ac:dyDescent="0.25">
      <c r="E42" s="290"/>
    </row>
    <row r="43" spans="1:7" x14ac:dyDescent="0.25">
      <c r="E43" s="296"/>
    </row>
  </sheetData>
  <sheetProtection algorithmName="SHA-512" hashValue="ZP+c/OKpGbHcf6lgcYCItgJVuhbToY0rfZr+9ntiOUJvhM40C6hAcLikf5EhETc2Bol6OA9QrnEY1eFZT5xK7w==" saltValue="88ZBV07bSFB5mo3yyFzUvA==" spinCount="100000" sheet="1" objects="1" scenarios="1" selectLockedCells="1" selectUnlockedCells="1"/>
  <mergeCells count="9">
    <mergeCell ref="K21:O21"/>
    <mergeCell ref="A21:B21"/>
    <mergeCell ref="C21:C22"/>
    <mergeCell ref="A10:B10"/>
    <mergeCell ref="D21:D22"/>
    <mergeCell ref="E21:I21"/>
    <mergeCell ref="J21:J22"/>
    <mergeCell ref="G10:K10"/>
    <mergeCell ref="C10:F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0"/>
  <sheetViews>
    <sheetView zoomScale="99" zoomScaleNormal="99" workbookViewId="0">
      <selection activeCell="B10" sqref="B10"/>
    </sheetView>
  </sheetViews>
  <sheetFormatPr baseColWidth="10" defaultRowHeight="15" x14ac:dyDescent="0.25"/>
  <cols>
    <col min="1" max="1" width="18.140625" customWidth="1"/>
    <col min="2" max="2" width="17.85546875" customWidth="1"/>
    <col min="3" max="4" width="18.140625" customWidth="1"/>
    <col min="5" max="6" width="22.7109375" customWidth="1"/>
    <col min="7" max="7" width="43.28515625" customWidth="1"/>
  </cols>
  <sheetData>
    <row r="2" spans="1:15" ht="26.25" x14ac:dyDescent="0.25">
      <c r="A2" s="7" t="s">
        <v>204</v>
      </c>
    </row>
    <row r="3" spans="1:15" ht="18.75" x14ac:dyDescent="0.25">
      <c r="A3" s="8" t="s">
        <v>15</v>
      </c>
    </row>
    <row r="4" spans="1:15" ht="18.75" x14ac:dyDescent="0.25">
      <c r="A4" s="8" t="s">
        <v>110</v>
      </c>
    </row>
    <row r="8" spans="1:15" x14ac:dyDescent="0.25"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</row>
    <row r="12" spans="1:15" ht="27" customHeight="1" x14ac:dyDescent="0.25">
      <c r="A12" s="457" t="s">
        <v>30</v>
      </c>
      <c r="B12" s="458"/>
      <c r="C12" s="459"/>
      <c r="D12" s="455" t="s">
        <v>254</v>
      </c>
      <c r="E12" s="455" t="s">
        <v>253</v>
      </c>
      <c r="F12" s="473" t="s">
        <v>281</v>
      </c>
      <c r="G12" s="278"/>
    </row>
    <row r="13" spans="1:15" ht="30" x14ac:dyDescent="0.25">
      <c r="A13" s="210" t="s">
        <v>83</v>
      </c>
      <c r="B13" s="210" t="s">
        <v>111</v>
      </c>
      <c r="C13" s="210" t="s">
        <v>252</v>
      </c>
      <c r="D13" s="456"/>
      <c r="E13" s="456"/>
      <c r="F13" s="474"/>
    </row>
    <row r="14" spans="1:15" x14ac:dyDescent="0.25">
      <c r="A14" s="71" t="str">
        <f>IF(SYNTHESE!A100="","",SYNTHESE!A100)</f>
        <v/>
      </c>
      <c r="B14" s="71" t="str">
        <f>IF(A14="","",SYNTHESE!B100)</f>
        <v/>
      </c>
      <c r="C14" s="71" t="str">
        <f>IF(A14="","",IF(AND(SYNTHESE!D100&lt;=4,SYNTHESE!D100&gt;=2),"oui","erreur"))</f>
        <v/>
      </c>
      <c r="D14" s="71" t="str">
        <f>IF(A14="","",SYNTHESE!C100*SYNTHESE!D100)</f>
        <v/>
      </c>
      <c r="E14" s="173" t="str">
        <f>IF(A14="","",IF(C14="oui",Barèmes!$E$83*'calcul BEM'!D14,"erreur"))</f>
        <v/>
      </c>
      <c r="F14" s="173" t="str">
        <f>IF(A14="","",E14+0)</f>
        <v/>
      </c>
    </row>
    <row r="15" spans="1:15" x14ac:dyDescent="0.25">
      <c r="A15" s="71" t="str">
        <f>IF(SYNTHESE!A101="","",SYNTHESE!A101)</f>
        <v/>
      </c>
      <c r="B15" s="71" t="str">
        <f>IF(A15="","",SYNTHESE!B101)</f>
        <v/>
      </c>
      <c r="C15" s="71" t="str">
        <f>IF(A15="","",IF(AND(SYNTHESE!D101&lt;=4,SYNTHESE!D101&gt;=2),"oui","erreur"))</f>
        <v/>
      </c>
      <c r="D15" s="71" t="str">
        <f>IF(A15="","",SYNTHESE!C101*SYNTHESE!D101)</f>
        <v/>
      </c>
      <c r="E15" s="173" t="str">
        <f>IF(A15="","",IF(C15="oui",Barèmes!$E$83*'calcul BEM'!D15,"erreur"))</f>
        <v/>
      </c>
      <c r="F15" s="173" t="str">
        <f t="shared" ref="F15:F19" si="0">IF(A15="","",E15+0)</f>
        <v/>
      </c>
      <c r="G15" s="292"/>
    </row>
    <row r="16" spans="1:15" x14ac:dyDescent="0.25">
      <c r="A16" s="71" t="str">
        <f>IF(SYNTHESE!A102="","",SYNTHESE!A102)</f>
        <v/>
      </c>
      <c r="B16" s="71" t="str">
        <f>IF(A16="","",SYNTHESE!B102)</f>
        <v/>
      </c>
      <c r="C16" s="71" t="str">
        <f>IF(A16="","",IF(AND(SYNTHESE!D102&lt;=4,SYNTHESE!D102&gt;=2),"oui","erreur"))</f>
        <v/>
      </c>
      <c r="D16" s="71" t="str">
        <f>IF(A16="","",SYNTHESE!C102*SYNTHESE!D102)</f>
        <v/>
      </c>
      <c r="E16" s="173" t="str">
        <f>IF(A16="","",IF(C16="oui",Barèmes!$E$83*'calcul BEM'!D16,"erreur"))</f>
        <v/>
      </c>
      <c r="F16" s="173" t="str">
        <f t="shared" si="0"/>
        <v/>
      </c>
      <c r="G16" s="296"/>
    </row>
    <row r="17" spans="1:6" x14ac:dyDescent="0.25">
      <c r="A17" s="71" t="str">
        <f>IF(SYNTHESE!A103="","",SYNTHESE!A103)</f>
        <v/>
      </c>
      <c r="B17" s="71" t="str">
        <f>IF(A17="","",SYNTHESE!B103)</f>
        <v/>
      </c>
      <c r="C17" s="71" t="str">
        <f>IF(A17="","",IF(AND(SYNTHESE!D103&lt;=4,SYNTHESE!D103&gt;=2),"oui","erreur"))</f>
        <v/>
      </c>
      <c r="D17" s="71" t="str">
        <f>IF(A17="","",SYNTHESE!C103*SYNTHESE!D103)</f>
        <v/>
      </c>
      <c r="E17" s="173" t="str">
        <f>IF(A17="","",IF(C17="oui",Barèmes!$E$83*'calcul BEM'!D17,"erreur"))</f>
        <v/>
      </c>
      <c r="F17" s="173" t="str">
        <f t="shared" si="0"/>
        <v/>
      </c>
    </row>
    <row r="18" spans="1:6" x14ac:dyDescent="0.25">
      <c r="A18" s="71" t="str">
        <f>IF(SYNTHESE!A104="","",SYNTHESE!A104)</f>
        <v/>
      </c>
      <c r="B18" s="71" t="str">
        <f>IF(A18="","",SYNTHESE!B104)</f>
        <v/>
      </c>
      <c r="C18" s="71" t="str">
        <f>IF(A18="","",IF(AND(SYNTHESE!D104&lt;=4,SYNTHESE!D104&gt;=2),"oui","erreur"))</f>
        <v/>
      </c>
      <c r="D18" s="71" t="str">
        <f>IF(A18="","",SYNTHESE!C104*SYNTHESE!D104)</f>
        <v/>
      </c>
      <c r="E18" s="173" t="str">
        <f>IF(A18="","",IF(C18="oui",Barèmes!$E$83*'calcul BEM'!D18,"erreur"))</f>
        <v/>
      </c>
      <c r="F18" s="173" t="str">
        <f t="shared" si="0"/>
        <v/>
      </c>
    </row>
    <row r="19" spans="1:6" x14ac:dyDescent="0.25">
      <c r="A19" s="71" t="str">
        <f>IF(SYNTHESE!A105="","",SYNTHESE!A105)</f>
        <v/>
      </c>
      <c r="B19" s="71" t="str">
        <f>IF(A19="","",SYNTHESE!B105)</f>
        <v/>
      </c>
      <c r="C19" s="71" t="str">
        <f>IF(A19="","",IF(AND(SYNTHESE!D105&lt;=4,SYNTHESE!D105&gt;=2),"oui","erreur"))</f>
        <v/>
      </c>
      <c r="D19" s="71" t="str">
        <f>IF(A19="","",SYNTHESE!C105*SYNTHESE!D105)</f>
        <v/>
      </c>
      <c r="E19" s="173" t="str">
        <f>IF(A19="","",IF(C19="oui",Barèmes!$E$83*'calcul BEM'!D19,"erreur"))</f>
        <v/>
      </c>
      <c r="F19" s="173" t="str">
        <f t="shared" si="0"/>
        <v/>
      </c>
    </row>
    <row r="20" spans="1:6" x14ac:dyDescent="0.25">
      <c r="F20" s="235">
        <f>SUM(F14:F19)</f>
        <v>0</v>
      </c>
    </row>
  </sheetData>
  <sheetProtection algorithmName="SHA-512" hashValue="RNT6DnM1ijkSuBk3PdumIdTSu7gfLe3E5VLWrwszDVpLLju5G0lij6eoY61XsVClLYGlomAw/AT0INXEHF5GJQ==" saltValue="U6+UvfFAzCNCIxm5+x6csw==" spinCount="100000" sheet="1" objects="1" scenarios="1" selectLockedCells="1" selectUnlockedCells="1"/>
  <mergeCells count="4">
    <mergeCell ref="A12:C12"/>
    <mergeCell ref="F12:F13"/>
    <mergeCell ref="D12:D13"/>
    <mergeCell ref="E12:E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17"/>
  <sheetViews>
    <sheetView topLeftCell="A4" zoomScale="116" zoomScaleNormal="116" workbookViewId="0">
      <selection activeCell="B10" sqref="B10"/>
    </sheetView>
  </sheetViews>
  <sheetFormatPr baseColWidth="10" defaultRowHeight="15" x14ac:dyDescent="0.25"/>
  <cols>
    <col min="1" max="6" width="22.140625" customWidth="1"/>
  </cols>
  <sheetData>
    <row r="2" spans="1:14" ht="26.25" x14ac:dyDescent="0.25">
      <c r="A2" s="7" t="s">
        <v>206</v>
      </c>
    </row>
    <row r="3" spans="1:14" ht="18.75" x14ac:dyDescent="0.25">
      <c r="A3" s="201" t="s">
        <v>15</v>
      </c>
    </row>
    <row r="4" spans="1:14" ht="18.75" x14ac:dyDescent="0.25">
      <c r="A4" s="8" t="s">
        <v>163</v>
      </c>
    </row>
    <row r="8" spans="1:14" x14ac:dyDescent="0.25"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4" x14ac:dyDescent="0.25">
      <c r="A9" s="187" t="s">
        <v>30</v>
      </c>
      <c r="B9" s="188"/>
      <c r="C9" s="455" t="s">
        <v>255</v>
      </c>
      <c r="D9" s="473" t="s">
        <v>281</v>
      </c>
      <c r="E9" s="278"/>
    </row>
    <row r="10" spans="1:14" ht="30" x14ac:dyDescent="0.25">
      <c r="A10" s="210" t="s">
        <v>83</v>
      </c>
      <c r="B10" s="210" t="s">
        <v>111</v>
      </c>
      <c r="C10" s="456"/>
      <c r="D10" s="474"/>
    </row>
    <row r="11" spans="1:14" x14ac:dyDescent="0.25">
      <c r="A11" s="71" t="str">
        <f>IF(SYNTHESE!A114="","",SYNTHESE!A114)</f>
        <v/>
      </c>
      <c r="B11" s="71" t="str">
        <f>IF(SYNTHESE!B114="","",SYNTHESE!B114)</f>
        <v/>
      </c>
      <c r="C11" s="173" t="str">
        <f>IF(A11="","",SYNTHESE!C114*Barèmes!$E$91)</f>
        <v/>
      </c>
      <c r="D11" s="173" t="str">
        <f>IF(A11="","",C11)</f>
        <v/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</row>
    <row r="12" spans="1:14" x14ac:dyDescent="0.25">
      <c r="A12" s="71" t="str">
        <f>IF(SYNTHESE!A115="","",SYNTHESE!A115)</f>
        <v/>
      </c>
      <c r="B12" s="71" t="str">
        <f>IF(SYNTHESE!B115="","",SYNTHESE!B115)</f>
        <v/>
      </c>
      <c r="C12" s="173" t="str">
        <f>IF(A12="","",SYNTHESE!C115*Barèmes!$E$91)</f>
        <v/>
      </c>
      <c r="D12" s="173" t="str">
        <f t="shared" ref="D12:D16" si="0">IF(A12="","",C12)</f>
        <v/>
      </c>
      <c r="E12" s="269"/>
      <c r="F12" s="269"/>
      <c r="G12" s="269"/>
      <c r="H12" s="269"/>
      <c r="I12" s="269"/>
      <c r="J12" s="269"/>
      <c r="K12" s="269"/>
      <c r="L12" s="269"/>
      <c r="M12" s="269"/>
      <c r="N12" s="269"/>
    </row>
    <row r="13" spans="1:14" x14ac:dyDescent="0.25">
      <c r="A13" s="71" t="str">
        <f>IF(SYNTHESE!A116="","",SYNTHESE!A116)</f>
        <v/>
      </c>
      <c r="B13" s="71" t="str">
        <f>IF(SYNTHESE!B116="","",SYNTHESE!B116)</f>
        <v/>
      </c>
      <c r="C13" s="173" t="str">
        <f>IF(A13="","",SYNTHESE!C116*Barèmes!$E$91)</f>
        <v/>
      </c>
      <c r="D13" s="173" t="str">
        <f t="shared" si="0"/>
        <v/>
      </c>
    </row>
    <row r="14" spans="1:14" x14ac:dyDescent="0.25">
      <c r="A14" s="71" t="str">
        <f>IF(SYNTHESE!A117="","",SYNTHESE!A117)</f>
        <v/>
      </c>
      <c r="B14" s="71" t="str">
        <f>IF(SYNTHESE!B117="","",SYNTHESE!B117)</f>
        <v/>
      </c>
      <c r="C14" s="173" t="str">
        <f>IF(A14="","",SYNTHESE!C117*Barèmes!$E$91)</f>
        <v/>
      </c>
      <c r="D14" s="173" t="str">
        <f t="shared" si="0"/>
        <v/>
      </c>
    </row>
    <row r="15" spans="1:14" x14ac:dyDescent="0.25">
      <c r="A15" s="71" t="str">
        <f>IF(SYNTHESE!A118="","",SYNTHESE!A118)</f>
        <v/>
      </c>
      <c r="B15" s="71" t="str">
        <f>IF(SYNTHESE!B118="","",SYNTHESE!B118)</f>
        <v/>
      </c>
      <c r="C15" s="173" t="str">
        <f>IF(A15="","",SYNTHESE!C118*Barèmes!$E$91)</f>
        <v/>
      </c>
      <c r="D15" s="173" t="str">
        <f t="shared" si="0"/>
        <v/>
      </c>
    </row>
    <row r="16" spans="1:14" x14ac:dyDescent="0.25">
      <c r="A16" s="71" t="str">
        <f>IF(SYNTHESE!A119="","",SYNTHESE!A119)</f>
        <v/>
      </c>
      <c r="B16" s="71" t="str">
        <f>IF(SYNTHESE!B119="","",SYNTHESE!B119)</f>
        <v/>
      </c>
      <c r="C16" s="173" t="str">
        <f>IF(A16="","",SYNTHESE!C119*Barèmes!$E$91)</f>
        <v/>
      </c>
      <c r="D16" s="173" t="str">
        <f t="shared" si="0"/>
        <v/>
      </c>
    </row>
    <row r="17" spans="4:4" x14ac:dyDescent="0.25">
      <c r="D17" s="235">
        <f>SUM(D11:D16)</f>
        <v>0</v>
      </c>
    </row>
  </sheetData>
  <sheetProtection algorithmName="SHA-512" hashValue="K4gk8PCrOfJL8xcCwWlGNY9DNTCEPaOfHNpAE+6BDpbexTpltLTPfhETESjgLZuCj9/7aT+bdSCmvo1zJVM60w==" saltValue="hDq97EA3UQ9GIP4osFeIjQ==" spinCount="100000" sheet="1" objects="1" scenarios="1" selectLockedCells="1" selectUnlockedCells="1"/>
  <mergeCells count="2">
    <mergeCell ref="C9:C10"/>
    <mergeCell ref="D9:D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1"/>
  <sheetViews>
    <sheetView zoomScale="104" zoomScaleNormal="104" workbookViewId="0">
      <selection activeCell="B10" sqref="B10"/>
    </sheetView>
  </sheetViews>
  <sheetFormatPr baseColWidth="10" defaultRowHeight="15" x14ac:dyDescent="0.25"/>
  <cols>
    <col min="1" max="1" width="13.5703125" customWidth="1"/>
    <col min="2" max="2" width="14.85546875" customWidth="1"/>
    <col min="3" max="3" width="13.140625" customWidth="1"/>
    <col min="4" max="8" width="17.140625" customWidth="1"/>
  </cols>
  <sheetData>
    <row r="1" spans="1:15" x14ac:dyDescent="0.25">
      <c r="A1" s="70"/>
    </row>
    <row r="2" spans="1:15" ht="26.25" x14ac:dyDescent="0.25">
      <c r="A2" s="10" t="s">
        <v>205</v>
      </c>
    </row>
    <row r="3" spans="1:15" ht="18.75" x14ac:dyDescent="0.25">
      <c r="A3" s="201" t="s">
        <v>15</v>
      </c>
    </row>
    <row r="4" spans="1:15" ht="18.75" x14ac:dyDescent="0.25">
      <c r="A4" s="201" t="s">
        <v>164</v>
      </c>
    </row>
    <row r="8" spans="1:15" ht="32.1" customHeight="1" x14ac:dyDescent="0.25">
      <c r="A8" s="464" t="s">
        <v>30</v>
      </c>
      <c r="B8" s="464"/>
      <c r="C8" s="187" t="s">
        <v>75</v>
      </c>
      <c r="D8" s="188"/>
    </row>
    <row r="9" spans="1:15" ht="30" x14ac:dyDescent="0.25">
      <c r="A9" s="183" t="s">
        <v>83</v>
      </c>
      <c r="B9" s="183" t="s">
        <v>198</v>
      </c>
      <c r="C9" s="183" t="s">
        <v>195</v>
      </c>
      <c r="D9" s="183" t="s">
        <v>203</v>
      </c>
    </row>
    <row r="10" spans="1:15" x14ac:dyDescent="0.25">
      <c r="A10" s="34" t="str">
        <f>IF(SYNTHESE!A127="","",SYNTHESE!A127)</f>
        <v/>
      </c>
      <c r="B10" s="34" t="str">
        <f>IF(SYNTHESE!B127="","",SYNTHESE!B127)</f>
        <v/>
      </c>
      <c r="C10" s="34" t="str">
        <f>IF(B10="","",SYNTHESE!C127)</f>
        <v/>
      </c>
      <c r="D10" s="197" t="str">
        <f>IF(B10="","",IF(AND(C10&lt;100,C10&gt;=25),"surface 1",IF(AND(C10&lt;=199,C10&gt;=100),"surface 2",IF(AND(C10&lt;=299,C10&gt;=200),"surface 3",IF(AND(C10&lt;=500,C10&gt;=300),"surface 4","erreur")))))</f>
        <v/>
      </c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</row>
    <row r="11" spans="1:15" x14ac:dyDescent="0.25">
      <c r="A11" s="34" t="str">
        <f>IF(SYNTHESE!A128="","",SYNTHESE!A128)</f>
        <v/>
      </c>
      <c r="B11" s="34" t="str">
        <f>IF(SYNTHESE!B128="","",SYNTHESE!B128)</f>
        <v/>
      </c>
      <c r="C11" s="34" t="str">
        <f>IF(B11="","",SYNTHESE!C128)</f>
        <v/>
      </c>
      <c r="D11" s="197" t="str">
        <f t="shared" ref="D11:D14" si="0">IF(B11="","",IF(AND(C11&lt;100,C11&gt;=25),"surface 1",IF(AND(C11&lt;=199,C11&gt;=100),"surface 2",IF(AND(C11&lt;=299,C11&gt;=200),"surface 3",IF(AND(C11&lt;=500,C11&gt;=300),"surface 4","erreur")))))</f>
        <v/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</row>
    <row r="12" spans="1:15" x14ac:dyDescent="0.25">
      <c r="A12" s="34" t="str">
        <f>IF(SYNTHESE!A129="","",SYNTHESE!A129)</f>
        <v/>
      </c>
      <c r="B12" s="34" t="str">
        <f>IF(SYNTHESE!B129="","",SYNTHESE!B129)</f>
        <v/>
      </c>
      <c r="C12" s="34" t="str">
        <f>IF(B12="","",SYNTHESE!C129)</f>
        <v/>
      </c>
      <c r="D12" s="197" t="str">
        <f t="shared" si="0"/>
        <v/>
      </c>
    </row>
    <row r="13" spans="1:15" x14ac:dyDescent="0.25">
      <c r="A13" s="34" t="str">
        <f>IF(SYNTHESE!A130="","",SYNTHESE!A130)</f>
        <v/>
      </c>
      <c r="B13" s="34" t="str">
        <f>IF(SYNTHESE!B130="","",SYNTHESE!B130)</f>
        <v/>
      </c>
      <c r="C13" s="34" t="str">
        <f>IF(B13="","",SYNTHESE!C130)</f>
        <v/>
      </c>
      <c r="D13" s="197" t="str">
        <f t="shared" si="0"/>
        <v/>
      </c>
    </row>
    <row r="14" spans="1:15" x14ac:dyDescent="0.25">
      <c r="A14" s="34" t="str">
        <f>IF(SYNTHESE!A131="","",SYNTHESE!A131)</f>
        <v/>
      </c>
      <c r="B14" s="34" t="str">
        <f>IF(SYNTHESE!B131="","",SYNTHESE!B131)</f>
        <v/>
      </c>
      <c r="C14" s="34" t="str">
        <f>IF(B14="","",SYNTHESE!C131)</f>
        <v/>
      </c>
      <c r="D14" s="197" t="str">
        <f t="shared" si="0"/>
        <v/>
      </c>
    </row>
    <row r="16" spans="1:15" x14ac:dyDescent="0.25">
      <c r="A16" s="40" t="s">
        <v>282</v>
      </c>
    </row>
    <row r="18" spans="1:5" ht="36" customHeight="1" x14ac:dyDescent="0.25">
      <c r="A18" s="464" t="s">
        <v>30</v>
      </c>
      <c r="B18" s="464"/>
      <c r="C18" s="455" t="s">
        <v>278</v>
      </c>
      <c r="D18" s="475" t="s">
        <v>281</v>
      </c>
      <c r="E18" s="278"/>
    </row>
    <row r="19" spans="1:5" ht="30" x14ac:dyDescent="0.25">
      <c r="A19" s="183" t="s">
        <v>52</v>
      </c>
      <c r="B19" s="183" t="s">
        <v>199</v>
      </c>
      <c r="C19" s="456"/>
      <c r="D19" s="476"/>
    </row>
    <row r="20" spans="1:5" x14ac:dyDescent="0.25">
      <c r="A20" s="34" t="str">
        <f>IF(SYNTHESE!A127="","",SYNTHESE!A127)</f>
        <v/>
      </c>
      <c r="B20" s="34" t="str">
        <f>IF(SYNTHESE!B127="","",SYNTHESE!B127)</f>
        <v/>
      </c>
      <c r="C20" s="198" t="str">
        <f>IF(B20="","",IF(D10="surface 1",Barèmes!$F$100*C10,IF(D10="surface 2",Barèmes!$F$101*C10,IF(D10="surface 3",Barèmes!$F$102*C10,IF(D10="surface 4",Barèmes!$F$103*C10,"erreur")))))</f>
        <v/>
      </c>
      <c r="D20" s="41" t="str">
        <f>IF(B20="","",C20)</f>
        <v/>
      </c>
    </row>
    <row r="21" spans="1:5" x14ac:dyDescent="0.25">
      <c r="A21" s="34" t="str">
        <f>IF(SYNTHESE!A128="","",SYNTHESE!A128)</f>
        <v/>
      </c>
      <c r="B21" s="34" t="str">
        <f>IF(SYNTHESE!B128="","",SYNTHESE!B128)</f>
        <v/>
      </c>
      <c r="C21" s="198" t="str">
        <f>IF(B21="","",IF(D11="surface 1",Barèmes!$F$100*C11,IF(D11="surface 2",Barèmes!$F$101*C11,IF(D11="surface 3",Barèmes!$F$102*C11,IF(D11="surface 4",Barèmes!$F$103*C11,"erreur")))))</f>
        <v/>
      </c>
      <c r="D21" s="41" t="str">
        <f t="shared" ref="D21:D25" si="1">IF(B21="","",C21)</f>
        <v/>
      </c>
    </row>
    <row r="22" spans="1:5" x14ac:dyDescent="0.25">
      <c r="A22" s="34" t="str">
        <f>IF(SYNTHESE!A129="","",SYNTHESE!A129)</f>
        <v/>
      </c>
      <c r="B22" s="34" t="str">
        <f>IF(SYNTHESE!B129="","",SYNTHESE!B129)</f>
        <v/>
      </c>
      <c r="C22" s="198" t="str">
        <f>IF(B22="","",IF(D12="surface 1",Barèmes!$F$100*C12,IF(D12="surface 2",Barèmes!$F$101*C12,IF(D12="surface 3",Barèmes!$F$102*C12,IF(D12="surface 4",Barèmes!$F$103*C12,"erreur")))))</f>
        <v/>
      </c>
      <c r="D22" s="41" t="str">
        <f t="shared" si="1"/>
        <v/>
      </c>
    </row>
    <row r="23" spans="1:5" x14ac:dyDescent="0.25">
      <c r="A23" s="34" t="str">
        <f>IF(SYNTHESE!A130="","",SYNTHESE!A130)</f>
        <v/>
      </c>
      <c r="B23" s="34" t="str">
        <f>IF(SYNTHESE!B130="","",SYNTHESE!B130)</f>
        <v/>
      </c>
      <c r="C23" s="198" t="str">
        <f>IF(B23="","",IF(D13="surface 1",Barèmes!$F$100*C13,IF(D13="surface 2",Barèmes!$F$101*C13,IF(D13="surface 3",Barèmes!$F$102*C13,IF(D13="surface 4",Barèmes!$F$103*C13,"erreur")))))</f>
        <v/>
      </c>
      <c r="D23" s="41" t="str">
        <f t="shared" si="1"/>
        <v/>
      </c>
    </row>
    <row r="24" spans="1:5" x14ac:dyDescent="0.25">
      <c r="A24" s="34" t="str">
        <f>IF(SYNTHESE!A131="","",SYNTHESE!A131)</f>
        <v/>
      </c>
      <c r="B24" s="34" t="str">
        <f>IF(SYNTHESE!B131="","",SYNTHESE!B131)</f>
        <v/>
      </c>
      <c r="C24" s="198" t="str">
        <f>IF(B24="","",IF(D14="surface 1",Barèmes!$F$100*C14,IF(D14="surface 2",Barèmes!$F$101*C14,IF(D14="surface 3",Barèmes!$F$102*C14,IF(D14="surface 4",Barèmes!$F$103*C14,"erreur")))))</f>
        <v/>
      </c>
      <c r="D24" s="41" t="str">
        <f t="shared" si="1"/>
        <v/>
      </c>
    </row>
    <row r="25" spans="1:5" x14ac:dyDescent="0.25">
      <c r="A25" s="34" t="str">
        <f>IF(SYNTHESE!A132="","",SYNTHESE!A132)</f>
        <v/>
      </c>
      <c r="B25" s="34" t="str">
        <f>IF(SYNTHESE!B132="","",SYNTHESE!B132)</f>
        <v/>
      </c>
      <c r="C25" s="198" t="str">
        <f>IF(B25="","",IF(D15="surface 1",Barèmes!$F$100*C15,IF(D15="surface 2",Barèmes!$F$101*C15,IF(D15="surface 3",Barèmes!$F$102*C15,IF(D15="surface 4",Barèmes!$F$103*C15,"erreur")))))</f>
        <v/>
      </c>
      <c r="D25" s="41" t="str">
        <f t="shared" si="1"/>
        <v/>
      </c>
    </row>
    <row r="26" spans="1:5" ht="15.75" thickBot="1" x14ac:dyDescent="0.3">
      <c r="D26" s="62">
        <f>SUM(D20:D25)</f>
        <v>0</v>
      </c>
    </row>
    <row r="29" spans="1:5" x14ac:dyDescent="0.25">
      <c r="A29" t="s">
        <v>197</v>
      </c>
    </row>
    <row r="30" spans="1:5" x14ac:dyDescent="0.25">
      <c r="A30" t="s">
        <v>138</v>
      </c>
    </row>
    <row r="31" spans="1:5" x14ac:dyDescent="0.25">
      <c r="A31" t="s">
        <v>139</v>
      </c>
    </row>
  </sheetData>
  <sheetProtection algorithmName="SHA-512" hashValue="sCTOFSeeboGL3qLjjox8D2VJ+7ib0dRfKtjEC7V4Jv0Kgbk68YsOjQuy1TdDgK1/Rd7kIY/aN7Hgk+5G5W1aKQ==" saltValue="ljBMypHW9lA0IJ7bj9fj5g==" spinCount="100000" sheet="1" objects="1" scenarios="1" selectLockedCells="1" selectUnlockedCells="1"/>
  <mergeCells count="4">
    <mergeCell ref="C18:C19"/>
    <mergeCell ref="A18:B18"/>
    <mergeCell ref="D18:D19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181BBDD4739D4F9E30F642A5BC5EAF" ma:contentTypeVersion="16" ma:contentTypeDescription="Crée un document." ma:contentTypeScope="" ma:versionID="3fd0a647148891c9d274b7e68bd887c1">
  <xsd:schema xmlns:xsd="http://www.w3.org/2001/XMLSchema" xmlns:xs="http://www.w3.org/2001/XMLSchema" xmlns:p="http://schemas.microsoft.com/office/2006/metadata/properties" xmlns:ns3="f8b91ab9-58b7-41c4-a11d-1e2cfb374035" xmlns:ns4="a768c729-2414-486b-92fa-8d012d4b1a03" targetNamespace="http://schemas.microsoft.com/office/2006/metadata/properties" ma:root="true" ma:fieldsID="a6d94b213edc891633af320c95300bfd" ns3:_="" ns4:_="">
    <xsd:import namespace="f8b91ab9-58b7-41c4-a11d-1e2cfb374035"/>
    <xsd:import namespace="a768c729-2414-486b-92fa-8d012d4b1a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91ab9-58b7-41c4-a11d-1e2cfb37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8c729-2414-486b-92fa-8d012d4b1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68c729-2414-486b-92fa-8d012d4b1a03" xsi:nil="true"/>
  </documentManagement>
</p:properties>
</file>

<file path=customXml/itemProps1.xml><?xml version="1.0" encoding="utf-8"?>
<ds:datastoreItem xmlns:ds="http://schemas.openxmlformats.org/officeDocument/2006/customXml" ds:itemID="{E5DF9D36-1F8D-4E2B-8405-AE79C2BDC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91ab9-58b7-41c4-a11d-1e2cfb374035"/>
    <ds:schemaRef ds:uri="a768c729-2414-486b-92fa-8d012d4b1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0010D7-225A-4BDE-A5EF-9C73D831FF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B0862A-01EB-4A89-A8C9-3CD70B2158BF}">
  <ds:schemaRefs>
    <ds:schemaRef ds:uri="a768c729-2414-486b-92fa-8d012d4b1a03"/>
    <ds:schemaRef ds:uri="http://purl.org/dc/elements/1.1/"/>
    <ds:schemaRef ds:uri="f8b91ab9-58b7-41c4-a11d-1e2cfb374035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Barèmes</vt:lpstr>
      <vt:lpstr>SYNTHESE</vt:lpstr>
      <vt:lpstr>calcul haies</vt:lpstr>
      <vt:lpstr>calcul AIP</vt:lpstr>
      <vt:lpstr>calcul BOS</vt:lpstr>
      <vt:lpstr>calcul RNA</vt:lpstr>
      <vt:lpstr>calcul BEM</vt:lpstr>
      <vt:lpstr>calcul fascines</vt:lpstr>
      <vt:lpstr>calcul CMA</vt:lpstr>
      <vt:lpstr>calcul RMA</vt:lpstr>
      <vt:lpstr>calcul RMU</vt:lpstr>
      <vt:lpstr>Barèmes!Zone_d_impression</vt:lpstr>
      <vt:lpstr>SYNTHESE!Zone_d_impression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GHISALBERTI</dc:creator>
  <cp:lastModifiedBy>GERSANOIS Stéphanie</cp:lastModifiedBy>
  <cp:lastPrinted>2021-06-16T07:05:18Z</cp:lastPrinted>
  <dcterms:created xsi:type="dcterms:W3CDTF">2021-04-30T16:40:08Z</dcterms:created>
  <dcterms:modified xsi:type="dcterms:W3CDTF">2025-07-15T09:04:29Z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0x01010005181BBDD4739D4F9E30F642A5BC5EAF</vt:lpwstr>
  </property>
</Properties>
</file>